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800" activeTab="0"/>
  </bookViews>
  <sheets>
    <sheet name="Лист2" sheetId="1" r:id="rId1"/>
  </sheets>
  <definedNames>
    <definedName name="_xlnm.Print_Titles" localSheetId="0">'Лист2'!$7:$11</definedName>
    <definedName name="_xlnm.Print_Area" localSheetId="0">'Лист2'!$C$1:$S$407</definedName>
  </definedNames>
  <calcPr fullCalcOnLoad="1"/>
</workbook>
</file>

<file path=xl/sharedStrings.xml><?xml version="1.0" encoding="utf-8"?>
<sst xmlns="http://schemas.openxmlformats.org/spreadsheetml/2006/main" count="880" uniqueCount="630">
  <si>
    <t>Резервний фонд</t>
  </si>
  <si>
    <t>видатки споживання</t>
  </si>
  <si>
    <t>видатки розвитку</t>
  </si>
  <si>
    <t>Код                                     програмної класифікації видатків та кредиту- вання місцевого бюджету</t>
  </si>
  <si>
    <t>Назва головного розпорядника коштів</t>
  </si>
  <si>
    <t>В тому числі видатки за рахунок субвенцій з державного бюджету</t>
  </si>
  <si>
    <t>Надання позашкільної освіти позашкільними закладами освіти, заходи із позашкільної роботи з дітьми</t>
  </si>
  <si>
    <t>Найменування програми/підпрограми видатків та кредитування місцевих бюджетів</t>
  </si>
  <si>
    <t xml:space="preserve"> - міська програма розвитку футболу в м.Южноукраїнську на 2013-2016 роки</t>
  </si>
  <si>
    <t xml:space="preserve"> - міська програма розвитку культури, фізичної культури, спорту та туризму в м.Южноукраїнську на 2014-2018 роки</t>
  </si>
  <si>
    <t>Разом:</t>
  </si>
  <si>
    <t>Разом :</t>
  </si>
  <si>
    <t>1000000</t>
  </si>
  <si>
    <t>1010000</t>
  </si>
  <si>
    <t xml:space="preserve"> - за рахунок субвенції з з державного бюджету на фінансування заходів щодо соціально-економічної компенсації ризику населення, яке проживає на території зони спостереження</t>
  </si>
  <si>
    <r>
      <t xml:space="preserve">Служба у справах дітей Южноукраїнської міської ради </t>
    </r>
    <r>
      <rPr>
        <i/>
        <sz val="14"/>
        <rFont val="Times New Roman"/>
        <family val="1"/>
      </rPr>
      <t>(головний розпорядник)</t>
    </r>
  </si>
  <si>
    <r>
      <t xml:space="preserve">Служба у справах дітей Южноукраїнської міської ради </t>
    </r>
    <r>
      <rPr>
        <i/>
        <sz val="14"/>
        <rFont val="Times New Roman"/>
        <family val="1"/>
      </rPr>
      <t xml:space="preserve">(відповідальний виконавець) </t>
    </r>
  </si>
  <si>
    <t>Фізична культура і спорт</t>
  </si>
  <si>
    <t>Всього</t>
  </si>
  <si>
    <t>Всього видатки бюджету міста:</t>
  </si>
  <si>
    <t>тис.грн.</t>
  </si>
  <si>
    <t>Видатки спеціального фонду</t>
  </si>
  <si>
    <t xml:space="preserve">до рішення Южноукраїнської міської ради      </t>
  </si>
  <si>
    <t xml:space="preserve">Реверсна дотація </t>
  </si>
  <si>
    <t xml:space="preserve"> -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</si>
  <si>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 за рахунок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</si>
  <si>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-міській програмі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</si>
  <si>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 </t>
  </si>
  <si>
    <t>Заклади і заходи з питань дітей та їх соціального захисту</t>
  </si>
  <si>
    <t xml:space="preserve"> - міська програма розвитку дорожнього руху та його безпеки в місті Южноукраїнську на 2013-2017 роки  </t>
  </si>
  <si>
    <t xml:space="preserve"> - програма охорони довкілля та раціонального природокористування міста Южноукраїнська на 2016-2020 роки</t>
  </si>
  <si>
    <t xml:space="preserve"> - освітньої субвенції </t>
  </si>
  <si>
    <t xml:space="preserve"> - медичної субвенції</t>
  </si>
  <si>
    <t xml:space="preserve"> - міська програма реформування і розвитку житлово - комунального господарства міста Южноукраїнська на 2016-2020 роки </t>
  </si>
  <si>
    <t xml:space="preserve"> -  міська програма управління  майном комунальної форми власності  міста Южноукраїнська на 2015-2019 роки</t>
  </si>
  <si>
    <t xml:space="preserve"> - міська програма управління  майном комунальної форми власності  міста Южноукраїнська на 2015-2019 роки </t>
  </si>
  <si>
    <t xml:space="preserve"> - міська Цільова  програма  захисту  населення і територій від надзвичайних ситуацій техногенного та природного характеру на 2014-2017 роки</t>
  </si>
  <si>
    <t>Т.О.Гончарова</t>
  </si>
  <si>
    <t xml:space="preserve"> - за рахунок субвенції на здійснення заходів щодо соціально-економічного розвитку окремих територій</t>
  </si>
  <si>
    <t xml:space="preserve"> - міська програма підтримки об'єднань співвласників багатоквартирних будинків на 2016-2018 роки </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</si>
  <si>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2016 рік"</t>
  </si>
  <si>
    <t>Сприяння розвиту малого та середнього підприємництва</t>
  </si>
  <si>
    <t xml:space="preserve"> - кошти міського бюджету</t>
  </si>
  <si>
    <t xml:space="preserve"> - 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на 2016 рік</t>
  </si>
  <si>
    <t xml:space="preserve"> -  субвенції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I - II групи з числа військовослужбовців, які брали участь у зазначеній операції, та потребують поліпшення житлових умов</t>
  </si>
  <si>
    <t xml:space="preserve"> - субвенція з обласного бюджету</t>
  </si>
  <si>
    <r>
      <t xml:space="preserve">Виконавчий комітет Южноукраїнської міської ради </t>
    </r>
    <r>
      <rPr>
        <i/>
        <sz val="14"/>
        <rFont val="Times New Roman"/>
        <family val="1"/>
      </rPr>
      <t xml:space="preserve">(відповідальний виконавець) </t>
    </r>
  </si>
  <si>
    <r>
      <t xml:space="preserve">Виконавчий комітет Южноукраїнської міської ради </t>
    </r>
    <r>
      <rPr>
        <i/>
        <sz val="14"/>
        <rFont val="Times New Roman"/>
        <family val="1"/>
      </rPr>
      <t>(головний розпорядник)</t>
    </r>
  </si>
  <si>
    <r>
      <t xml:space="preserve">Управління освіти Южноукраїнської міської ради </t>
    </r>
    <r>
      <rPr>
        <i/>
        <sz val="14"/>
        <rFont val="Times New Roman"/>
        <family val="1"/>
      </rPr>
      <t xml:space="preserve">(відповідальний виконавець) </t>
    </r>
  </si>
  <si>
    <r>
      <t>Управління освіти Южноукраїнської міської ради</t>
    </r>
    <r>
      <rPr>
        <i/>
        <sz val="14"/>
        <rFont val="Times New Roman"/>
        <family val="1"/>
      </rPr>
      <t xml:space="preserve"> (головний розпорядник)</t>
    </r>
  </si>
  <si>
    <r>
      <t xml:space="preserve">Фінансове  управління Южноукраїнської міської ради </t>
    </r>
    <r>
      <rPr>
        <i/>
        <sz val="14"/>
        <rFont val="Times New Roman"/>
        <family val="1"/>
      </rPr>
      <t>(головний розпорядник)</t>
    </r>
  </si>
  <si>
    <r>
      <rPr>
        <b/>
        <sz val="14"/>
        <rFont val="Times New Roman"/>
        <family val="1"/>
      </rPr>
      <t>Фінансове управління Южноукраїнської міської ради</t>
    </r>
    <r>
      <rPr>
        <i/>
        <sz val="14"/>
        <rFont val="Times New Roman"/>
        <family val="1"/>
      </rPr>
      <t xml:space="preserve"> (відповідальний виконавець) </t>
    </r>
  </si>
  <si>
    <r>
      <t xml:space="preserve">Управління молоді, спорту та культури Южноукраїнської міської ради </t>
    </r>
    <r>
      <rPr>
        <i/>
        <sz val="14"/>
        <rFont val="Times New Roman"/>
        <family val="1"/>
      </rPr>
      <t xml:space="preserve">(відповідальний виконавець) </t>
    </r>
  </si>
  <si>
    <r>
      <t>Управління молоді, спорту та культури Южноукраїнської міської ради</t>
    </r>
    <r>
      <rPr>
        <i/>
        <sz val="14"/>
        <rFont val="Times New Roman"/>
        <family val="1"/>
      </rPr>
      <t xml:space="preserve"> (головний розпорядник)</t>
    </r>
  </si>
  <si>
    <r>
      <t xml:space="preserve">Управління екології, охорони навколишнього середовища та земельних відносин Южноукраїнської міської ради </t>
    </r>
    <r>
      <rPr>
        <i/>
        <sz val="14"/>
        <rFont val="Times New Roman"/>
        <family val="1"/>
      </rPr>
      <t xml:space="preserve">(відповідальний виконавець)   </t>
    </r>
  </si>
  <si>
    <r>
      <t xml:space="preserve">Управління екології, охорони навколишнього середовища та земельних відносин Южноукраїнської міської ради </t>
    </r>
    <r>
      <rPr>
        <i/>
        <sz val="14"/>
        <rFont val="Times New Roman"/>
        <family val="1"/>
      </rPr>
      <t>(головний розпорядник)</t>
    </r>
  </si>
  <si>
    <t>Код ТПКВКМБ /
ТКВКБМС</t>
  </si>
  <si>
    <t>Код ФКВКБ</t>
  </si>
  <si>
    <t xml:space="preserve"> - міська програма "Наше місто"на 2015-2019 роки)</t>
  </si>
  <si>
    <t>0180</t>
  </si>
  <si>
    <t>0111</t>
  </si>
  <si>
    <t>0830</t>
  </si>
  <si>
    <t>0490</t>
  </si>
  <si>
    <t>0411</t>
  </si>
  <si>
    <t>0160</t>
  </si>
  <si>
    <t>1010</t>
  </si>
  <si>
    <t>0910</t>
  </si>
  <si>
    <t>1020</t>
  </si>
  <si>
    <t>0921</t>
  </si>
  <si>
    <t>1090</t>
  </si>
  <si>
    <t>0960</t>
  </si>
  <si>
    <t>0990</t>
  </si>
  <si>
    <t>0133</t>
  </si>
  <si>
    <t>1070</t>
  </si>
  <si>
    <t>1040</t>
  </si>
  <si>
    <t>1060</t>
  </si>
  <si>
    <t>0763</t>
  </si>
  <si>
    <t>3012</t>
  </si>
  <si>
    <t>1030</t>
  </si>
  <si>
    <t>3021</t>
  </si>
  <si>
    <t>3022</t>
  </si>
  <si>
    <t>3035</t>
  </si>
  <si>
    <t xml:space="preserve"> - міська комплексна програма "Турбота" на 2013 - 2017 роки</t>
  </si>
  <si>
    <t>3041</t>
  </si>
  <si>
    <t>3042</t>
  </si>
  <si>
    <t>3043</t>
  </si>
  <si>
    <t>3044</t>
  </si>
  <si>
    <t>3045</t>
  </si>
  <si>
    <t>3046</t>
  </si>
  <si>
    <t>3047</t>
  </si>
  <si>
    <t>3050</t>
  </si>
  <si>
    <t>3090</t>
  </si>
  <si>
    <t>3104</t>
  </si>
  <si>
    <t>3180</t>
  </si>
  <si>
    <t>1050</t>
  </si>
  <si>
    <t>3110</t>
  </si>
  <si>
    <t>3112</t>
  </si>
  <si>
    <t>0610</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</si>
  <si>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2016-2020рр.</t>
  </si>
  <si>
    <t>6030</t>
  </si>
  <si>
    <t>0620</t>
  </si>
  <si>
    <t xml:space="preserve"> - міська програма енергозбереження в сфері житлово - комунального господарства м.Южноукраїнська   на 2016-2020 роки</t>
  </si>
  <si>
    <t>0456</t>
  </si>
  <si>
    <t>8120</t>
  </si>
  <si>
    <t>4060</t>
  </si>
  <si>
    <t>0824</t>
  </si>
  <si>
    <t>0828</t>
  </si>
  <si>
    <t>0829</t>
  </si>
  <si>
    <t>5011</t>
  </si>
  <si>
    <t>0810</t>
  </si>
  <si>
    <t>5012</t>
  </si>
  <si>
    <t>0380</t>
  </si>
  <si>
    <t>0320</t>
  </si>
  <si>
    <t xml:space="preserve"> - міська соціальна програма Підтримки учасиків АТО та членів їх сімей на 2016-2020 року</t>
  </si>
  <si>
    <t xml:space="preserve"> - міська соціальна програма підтримки учаснииків АТО та членів їх сімей - "Воїни та ветерани антитерористичної операції" </t>
  </si>
  <si>
    <t xml:space="preserve"> - міська соціальна програма підтримки учасників АТО та членів їх сімей на 2016-2020 року</t>
  </si>
  <si>
    <t>7310</t>
  </si>
  <si>
    <t>5061</t>
  </si>
  <si>
    <r>
      <t xml:space="preserve">Управління з питань надзвичайних ситуацій та взаємодії з правоохоронними органами Южноукраїнської міської ради </t>
    </r>
    <r>
      <rPr>
        <i/>
        <sz val="14"/>
        <rFont val="Times New Roman"/>
        <family val="1"/>
      </rPr>
      <t xml:space="preserve"> (головний розпорядник)</t>
    </r>
  </si>
  <si>
    <r>
      <t xml:space="preserve">Управління з питань надзвичайних ситуацій та взаємодії з правоохоронними органами Южноукраїнської міської ради </t>
    </r>
    <r>
      <rPr>
        <i/>
        <sz val="14"/>
        <rFont val="Times New Roman"/>
        <family val="1"/>
      </rPr>
      <t xml:space="preserve">(відповідальний виконавець) </t>
    </r>
  </si>
  <si>
    <t xml:space="preserve"> - міська програма  "Фонд міської ради на виконання депутатських повноважень" на 2017 рік </t>
  </si>
  <si>
    <t xml:space="preserve"> - міська комплексна програма "Турбота" на 2013 - 2017 роки - "Рада організації ветеранів війни, праці та військової служби";  "Спілка ветеранів Афганістану"; Товариство інвалідів;  Спілка "Союз-Чорнобиль"</t>
  </si>
  <si>
    <t xml:space="preserve">Пільгове медичне обслуговування осіб, які постраждали внаслідок Чорнобильської катастрофи  (субвенція з обласного бюджету) </t>
  </si>
  <si>
    <t>5031</t>
  </si>
  <si>
    <t>3011</t>
  </si>
  <si>
    <t>3100</t>
  </si>
  <si>
    <t>3033</t>
  </si>
  <si>
    <t>0421</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</si>
  <si>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</si>
  <si>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 xml:space="preserve"> - міська програма реформування і розвитку житлово - комунального господарства міста Южноукраїнська на 2016 - 2020 роки</t>
  </si>
  <si>
    <t xml:space="preserve"> - міська програма поводження з твердими побутовими відходами на території міста Южноукраїнська на 2013 - 2020 роки </t>
  </si>
  <si>
    <t xml:space="preserve"> - міська  програма охорони тваринного світу та регулювання чисельності бродячих тварин в місті  Южноукраїнську на 2017-2021 роки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</si>
  <si>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</si>
  <si>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Питна вода  міста  Южноукраїнська на 2007-2020 роки</t>
  </si>
  <si>
    <t xml:space="preserve"> - міська програма реформування і розвитку житлово-комунального господарства міста Южноукраїнська на 2016-2020 роки </t>
  </si>
  <si>
    <t xml:space="preserve"> - міська програма капітального будівництва об"єктів житлово-комунального господарства  і соціальної інфраструктури м.Южноукраїнську на 2016-2020 роки)</t>
  </si>
  <si>
    <t>- міська програма Капітального будівництва об'єктів житлово-комунального господарства та соціальної інфраструктури м. Южноукраїнська на 2016-2020 роки</t>
  </si>
  <si>
    <t>3031</t>
  </si>
  <si>
    <r>
      <t xml:space="preserve">Департамент соціальних питань та охорони здоров'я Южноукраїнської міської ради </t>
    </r>
    <r>
      <rPr>
        <i/>
        <sz val="14"/>
        <rFont val="Times New Roman"/>
        <family val="1"/>
      </rPr>
      <t>(головний розпорядник)</t>
    </r>
  </si>
  <si>
    <r>
      <t>Департамент соціальних питань та охорони здоров'я Южноукраїнської міської ради</t>
    </r>
    <r>
      <rPr>
        <i/>
        <sz val="14"/>
        <rFont val="Times New Roman"/>
        <family val="1"/>
      </rPr>
      <t xml:space="preserve"> (відповідальний виконавець) </t>
    </r>
  </si>
  <si>
    <t>2010</t>
  </si>
  <si>
    <t>0731</t>
  </si>
  <si>
    <t xml:space="preserve"> - міська Цільова програма "Цукровий діабет" на 2017-2020 р.р.</t>
  </si>
  <si>
    <t xml:space="preserve"> - субвенція з з обласного бюджету за рахунок коштів медичної субвенції з державного бюджету місцевим бюджетам</t>
  </si>
  <si>
    <t xml:space="preserve"> - утримання та навчально-тренувальна робота комунальних дитячо-юнацьких спортивних шкіл</t>
  </si>
  <si>
    <r>
      <t xml:space="preserve">Департамент інфраструктури міського господарства Южноукраїнської міської ради </t>
    </r>
    <r>
      <rPr>
        <i/>
        <sz val="14"/>
        <rFont val="Times New Roman"/>
        <family val="1"/>
      </rPr>
      <t>(головний розпорядник)</t>
    </r>
  </si>
  <si>
    <r>
      <t xml:space="preserve">Департамент інфраструктури міського господарства Южноукраїнської міської ради </t>
    </r>
    <r>
      <rPr>
        <i/>
        <sz val="14"/>
        <rFont val="Times New Roman"/>
        <family val="1"/>
      </rPr>
      <t xml:space="preserve">(відповідальний виконавець) </t>
    </r>
  </si>
  <si>
    <t>0640</t>
  </si>
  <si>
    <t xml:space="preserve"> - міська програма боротьби з онкологічними захворюваннями в м.Южноукраїнську на період до 2017-2020 року</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</si>
  <si>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  в новій редакції</t>
  </si>
  <si>
    <t xml:space="preserve"> - міська програма підтримки об'єднань співвласників багатоквартирних будинків на 2016-2018 роки  в новій редакції</t>
  </si>
  <si>
    <t xml:space="preserve"> - програма розвитку культури, фізичної культури, спорту та туризму в м.Южноукраїнську на 2014-2018 роки</t>
  </si>
  <si>
    <t xml:space="preserve"> - утримання комунального закладу "Територіальний центр соціального обслуговування (надання соціальних послуг) м.Южноукраїнськ</t>
  </si>
  <si>
    <t xml:space="preserve"> - міська програма розвитку малого та середнього підприємництва в м.Южноукраїнську на 2015-2016 роки </t>
  </si>
  <si>
    <t xml:space="preserve"> - субвенції з обласного бюджету місцевим бюджетам на виконання депутатами обласної ради доручень виборців  відповідно до програм, затверджених обласною радою на 2017 рік</t>
  </si>
  <si>
    <t xml:space="preserve"> - міська програма розвитку культури, фізичної культури, спорту та туризму в м.Южноукраїнську на 2014-2018 роки </t>
  </si>
  <si>
    <t xml:space="preserve"> - міська програма підтримки співвласників багатоквартирних будинків на 2016-2018 роки в новій редакції </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</si>
  <si>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 в частині  укріплення матеріально-технічної бази Южноукраїнського відділення поліції Первомайського відділу поліції Головного Управління Національної поліції в Миколаївській області  (поточний ремонт системи опалення в будівлі Южноукраїнського відділення поліції)</t>
  </si>
  <si>
    <t xml:space="preserve"> -  за рахунок субвенції з обласного бюджету</t>
  </si>
  <si>
    <t xml:space="preserve"> - утримання департаменту соціальних питань та охорони здоров'я Южноукраїнської міської ради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</si>
  <si>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в тому числі:</t>
  </si>
  <si>
    <t>0150</t>
  </si>
  <si>
    <t xml:space="preserve"> - утримання виконавчого комітету Южноукраїнської міської ради</t>
  </si>
  <si>
    <t xml:space="preserve"> - міська програма інформаційної підтримки розвитку міста та діяльності органів місцевого самоврядування на 2017 -2018 роки</t>
  </si>
  <si>
    <t>1010160</t>
  </si>
  <si>
    <t>0600000</t>
  </si>
  <si>
    <t>0610000</t>
  </si>
  <si>
    <t>0610160</t>
  </si>
  <si>
    <t>0800000</t>
  </si>
  <si>
    <t>0810000</t>
  </si>
  <si>
    <t>0810160</t>
  </si>
  <si>
    <t>Керівництво і управління у відповідній сфері у містах (місті Києві), селищах, селах, об’єднаних територіальних громадах , в тому числі:</t>
  </si>
  <si>
    <t>Керівництво і управління у відповідній сфері у містах (місті Києві), селищах, селах, об’єднаних територіальних громадах, в тому числі:</t>
  </si>
  <si>
    <t>0900000</t>
  </si>
  <si>
    <t>0910160</t>
  </si>
  <si>
    <t>Керівництво і управління у відповідній сфері у містах (місті Києві), селищах, селах, об’єднаних територіальних громадах</t>
  </si>
  <si>
    <t xml:space="preserve"> - утримання служби у справах дітей Южноукраїнської міської ради</t>
  </si>
  <si>
    <t xml:space="preserve"> - утримання управління молоді, спорту та культури Южноукраїнської міської ради</t>
  </si>
  <si>
    <t xml:space="preserve">  - утримання департаменту інфраструктури міського господарства Южноукраїнської міської ради</t>
  </si>
  <si>
    <t>2810160</t>
  </si>
  <si>
    <t>2900000</t>
  </si>
  <si>
    <t>2910000</t>
  </si>
  <si>
    <t>2910160</t>
  </si>
  <si>
    <t xml:space="preserve"> - утримання управління з питань надзвичайних ситуацій та взаємодії з правоохоронними органами Южноукраїнської міської ради</t>
  </si>
  <si>
    <t>3700000</t>
  </si>
  <si>
    <t>3710000</t>
  </si>
  <si>
    <t xml:space="preserve"> - утримання фінансового управління Южноукраїнської міської ради </t>
  </si>
  <si>
    <t>7300</t>
  </si>
  <si>
    <t>Будівництво та регіональний розвиток</t>
  </si>
  <si>
    <t>0117350</t>
  </si>
  <si>
    <t>7350</t>
  </si>
  <si>
    <t>Розроблення схем планування та забудови територій (містобудівної документації)</t>
  </si>
  <si>
    <t>0443</t>
  </si>
  <si>
    <t>0118400</t>
  </si>
  <si>
    <t>8400</t>
  </si>
  <si>
    <t>Засоби масової інформації</t>
  </si>
  <si>
    <t>0118410</t>
  </si>
  <si>
    <t>8410</t>
  </si>
  <si>
    <t>Фінансова підтримка засобів масової інформації</t>
  </si>
  <si>
    <t xml:space="preserve"> - міська програма інформаційної підтримки розвитку міста та діяльності органів місцевого самоврядування на 2017-2018 роки</t>
  </si>
  <si>
    <t>7600</t>
  </si>
  <si>
    <t>Інші програми та заходи, пов'язані з економічною діяльністю</t>
  </si>
  <si>
    <t>0117610</t>
  </si>
  <si>
    <t>7610</t>
  </si>
  <si>
    <t xml:space="preserve"> - міська програма розвитку малого та середнього підприємництва</t>
  </si>
  <si>
    <t>0119800</t>
  </si>
  <si>
    <t>9800</t>
  </si>
  <si>
    <t>Субвенція з місцевого бюджету державному бюджету</t>
  </si>
  <si>
    <t>8220</t>
  </si>
  <si>
    <t>Заходи та роботи з мобілізаційної підготовки місцевого значення</t>
  </si>
  <si>
    <t>0611010</t>
  </si>
  <si>
    <t xml:space="preserve">Надання дошкільної освiти                                                                         </t>
  </si>
  <si>
    <t>0611020</t>
  </si>
  <si>
    <t>0611090</t>
  </si>
  <si>
    <t>Методичне забезпечення діяльності навчальних закладів</t>
  </si>
  <si>
    <t>1150</t>
  </si>
  <si>
    <t>0611150</t>
  </si>
  <si>
    <r>
      <t xml:space="preserve"> - міська програма розвитку освіти в м.Южноукраїнську на 2016-2020</t>
    </r>
    <r>
      <rPr>
        <i/>
        <sz val="14"/>
        <color indexed="10"/>
        <rFont val="Times New Roman"/>
        <family val="1"/>
      </rPr>
      <t xml:space="preserve"> </t>
    </r>
    <r>
      <rPr>
        <i/>
        <sz val="14"/>
        <rFont val="Times New Roman"/>
        <family val="1"/>
      </rPr>
      <t>роки</t>
    </r>
  </si>
  <si>
    <t>Організація та проведення громадських робіт</t>
  </si>
  <si>
    <t xml:space="preserve"> - міська програма зайнятості  населення міста Южноукраїнська на період до 2017 року в частині оплачуваних громадських робіт</t>
  </si>
  <si>
    <t>0617690</t>
  </si>
  <si>
    <t>7690</t>
  </si>
  <si>
    <t>Інша економічна діяльність</t>
  </si>
  <si>
    <t>0812010</t>
  </si>
  <si>
    <t>2141</t>
  </si>
  <si>
    <t>2142</t>
  </si>
  <si>
    <t>2143</t>
  </si>
  <si>
    <t>Централізовані заходи з лікування хворих на цукровий та нецукровий діабет- всього, в тому числі:</t>
  </si>
  <si>
    <t>2144</t>
  </si>
  <si>
    <t>2145</t>
  </si>
  <si>
    <t>0813011</t>
  </si>
  <si>
    <t>0813012</t>
  </si>
  <si>
    <t>0813021</t>
  </si>
  <si>
    <t>0813022</t>
  </si>
  <si>
    <t>Надання інших пільг окремим категоріям громадян відповідно до законодавства</t>
  </si>
  <si>
    <t>Надання пільг окремим категоріям громадян з оплати послуг зв'язку</t>
  </si>
  <si>
    <t>0813031</t>
  </si>
  <si>
    <t>0813032</t>
  </si>
  <si>
    <t>3032</t>
  </si>
  <si>
    <t>Компенсаційні виплати на пільговий проїзд автомобільним транспортом окремим категоріям громадян</t>
  </si>
  <si>
    <t>0813033</t>
  </si>
  <si>
    <t>Компенсаційні виплати за пільговий проїзд окремих категорій громадян на залізничному транспорті</t>
  </si>
  <si>
    <t>0813035</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</si>
  <si>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</si>
  <si>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</si>
  <si>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</si>
  <si>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0813041</t>
  </si>
  <si>
    <t>0813042</t>
  </si>
  <si>
    <t>0813043</t>
  </si>
  <si>
    <t>0813044</t>
  </si>
  <si>
    <t>0813045</t>
  </si>
  <si>
    <t>0813046</t>
  </si>
  <si>
    <t>0813047</t>
  </si>
  <si>
    <t>Надання допомоги на дітей одиноким матерям</t>
  </si>
  <si>
    <t>Надання тимчасової державної допомоги дітям</t>
  </si>
  <si>
    <t>Надання допомоги при усиновленні дитини</t>
  </si>
  <si>
    <t>0813050</t>
  </si>
  <si>
    <t>0813090</t>
  </si>
  <si>
    <t>0813104</t>
  </si>
  <si>
    <t>Утримання та забезпечення діяльності центрів соціальних служб для сім’ї, дітей та молоді</t>
  </si>
  <si>
    <t>3121</t>
  </si>
  <si>
    <t xml:space="preserve"> - утримання  Центру соціальних служб для сім’ї, дітей та молоді</t>
  </si>
  <si>
    <t xml:space="preserve"> - міська комплексна програма  "Молоде покоління  м.Южноукраїнська" на 2016-2020 роки</t>
  </si>
  <si>
    <t>0813180</t>
  </si>
  <si>
    <t>0813160</t>
  </si>
  <si>
    <t>3160</t>
  </si>
  <si>
    <t>Інші видатки на соціальний захист ветеранів війни та праці</t>
  </si>
  <si>
    <t>0813230</t>
  </si>
  <si>
    <t>0817690</t>
  </si>
  <si>
    <t xml:space="preserve">Організація та проведення громадських робіт </t>
  </si>
  <si>
    <t>0816080</t>
  </si>
  <si>
    <t>6080</t>
  </si>
  <si>
    <t>Реалізація державних та місцевих житлових програм</t>
  </si>
  <si>
    <t>0816082</t>
  </si>
  <si>
    <t>Придбання житла для окремих категорій населення відповідно до законодавства</t>
  </si>
  <si>
    <t xml:space="preserve"> - міська соціальна програма підтримки учасників АТО та членів їх сімей на 2016-2020 року в частині співфінансування з обласним бюджетом для придбання житла для сімей учасників бойових дій, які безпосередньо приймали участь в АТО</t>
  </si>
  <si>
    <t>6082</t>
  </si>
  <si>
    <t>Інші субвенції з місцевого бюджету</t>
  </si>
  <si>
    <t>0819770</t>
  </si>
  <si>
    <t>9770</t>
  </si>
  <si>
    <t xml:space="preserve"> - субвенція з міського бюджету обласному бюджету на на співфінансування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2020 року Миколаївської обласної ради та міської соціальної програми підтримки учасників АТО та членів їх сімей, на 2016-2020 роки</t>
  </si>
  <si>
    <t>0812141</t>
  </si>
  <si>
    <t>0812142</t>
  </si>
  <si>
    <t>0812143</t>
  </si>
  <si>
    <t>0812144</t>
  </si>
  <si>
    <t>0913110</t>
  </si>
  <si>
    <t>0913112</t>
  </si>
  <si>
    <t xml:space="preserve">Заходи державної політики з питань дітей та їх соціального захисту </t>
  </si>
  <si>
    <t xml:space="preserve"> - міська Програма захисту прав дітей міста Южноукраїнська "Дитинство"на 2013-2017 рік</t>
  </si>
  <si>
    <t>Інші заходи та заклади молодіжної політики</t>
  </si>
  <si>
    <t xml:space="preserve"> - міська комплексна програма "Молоде покоління міста Южноукраїнська" на 2016-2020 роки </t>
  </si>
  <si>
    <t>3133</t>
  </si>
  <si>
    <t>1013133</t>
  </si>
  <si>
    <t>1014060</t>
  </si>
  <si>
    <t xml:space="preserve">Культура і мистецтво </t>
  </si>
  <si>
    <t>Забезпечення діяльності бібліотек</t>
  </si>
  <si>
    <t>1014030</t>
  </si>
  <si>
    <t>4030</t>
  </si>
  <si>
    <t>Забезпечення діяльності музеїв i виставок</t>
  </si>
  <si>
    <t>1014040</t>
  </si>
  <si>
    <t>4040</t>
  </si>
  <si>
    <t>1011100</t>
  </si>
  <si>
    <t>Надання спеціальної освіти школами естетичного виховання (музичними, художніми, хореографічними, театральними, хоровими, мистецькими)</t>
  </si>
  <si>
    <t xml:space="preserve"> -міська програма розвитку культури, фізичної культури, спорту та туризму в м.Южноукраїнську на 2014-2018 роки</t>
  </si>
  <si>
    <t>Проведення навчально-тренувальних зборів і змагань з олімпійських видів спорту</t>
  </si>
  <si>
    <t>1015011</t>
  </si>
  <si>
    <t>Проведення навчально-тренувальних зборів і змагань з неолімпійських видів спорту</t>
  </si>
  <si>
    <t>1015012</t>
  </si>
  <si>
    <t>Утримання та навчально-тренувальна робота комунальних дитячо-юнацьких спортивних шкіл</t>
  </si>
  <si>
    <t>1015031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</si>
  <si>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</si>
  <si>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1015061</t>
  </si>
  <si>
    <t>Освіта</t>
  </si>
  <si>
    <t>2000</t>
  </si>
  <si>
    <t>Охорона здоров'я</t>
  </si>
  <si>
    <t>3000</t>
  </si>
  <si>
    <t>Соціальний захист та соціальне забезпечення</t>
  </si>
  <si>
    <t>0910000</t>
  </si>
  <si>
    <t>6011</t>
  </si>
  <si>
    <t>6012</t>
  </si>
  <si>
    <t xml:space="preserve">Забезпечення діяльності з виробництва, транспортування, постачання теплової енергії </t>
  </si>
  <si>
    <t>6013</t>
  </si>
  <si>
    <t>Забезпечення діяльності водопровідно-каналізаційного господарства</t>
  </si>
  <si>
    <t>Організація благоустрою населених пунктів</t>
  </si>
  <si>
    <t>Експлуатація та технічне обслуговування житлового фонду</t>
  </si>
  <si>
    <t>6014</t>
  </si>
  <si>
    <t>Забезпечення збору та вивезення сміття і відходів</t>
  </si>
  <si>
    <t>6015</t>
  </si>
  <si>
    <t>6016</t>
  </si>
  <si>
    <t>6017</t>
  </si>
  <si>
    <t>Забезпечення надійної та безперібійної експлуатації ліфтів</t>
  </si>
  <si>
    <t>Впровадження засобів обліку витрат та регулювання споживання води та теплової енергії</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</si>
  <si>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</si>
  <si>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Інша діяльність, пов'язана з експлуатацією об'єктів житлово-комунального господарства</t>
  </si>
  <si>
    <t>7321</t>
  </si>
  <si>
    <t>Будівництво освітніх установ та закладів</t>
  </si>
  <si>
    <t xml:space="preserve">Будівництво об'єктів житлово-комунального господарства </t>
  </si>
  <si>
    <t>Реалізація інших заходів щодо соціально-економічного розвитку територій</t>
  </si>
  <si>
    <t>8110</t>
  </si>
  <si>
    <t>1919770</t>
  </si>
  <si>
    <t xml:space="preserve"> - субвенція з міського бюджету обласному бюджету на надання фінансової підтримки з відновлення аеропортної діяльності комунального підприємства "Миколаївський міжнародний аеропорт" на співфінансування обласної програми розвитку комунального підприємства "Миколаївський міжнародний аеропорт" Миколаївської обласної ради на 2017-2020 роки, затвердженої рішенням обласної ради від 27.04.2017 №16</t>
  </si>
  <si>
    <t>6000</t>
  </si>
  <si>
    <t>Житлово-комунальне господарство</t>
  </si>
  <si>
    <t>7000</t>
  </si>
  <si>
    <t>8000</t>
  </si>
  <si>
    <t>Інша діяльність</t>
  </si>
  <si>
    <t>9000</t>
  </si>
  <si>
    <t>Міжбюджетні трансферти</t>
  </si>
  <si>
    <t>1919700</t>
  </si>
  <si>
    <t>9700</t>
  </si>
  <si>
    <t>Субвенції з місцевого бюджету іншим бюжетам на здійснення програм та заходів за рахунок коштів місцевих бюджетів</t>
  </si>
  <si>
    <t>Державне управління</t>
  </si>
  <si>
    <t>1919000</t>
  </si>
  <si>
    <t>0613000</t>
  </si>
  <si>
    <t>0617000</t>
  </si>
  <si>
    <t>0816000</t>
  </si>
  <si>
    <t>0817600</t>
  </si>
  <si>
    <t>0819000</t>
  </si>
  <si>
    <t>0819700</t>
  </si>
  <si>
    <t>0913000</t>
  </si>
  <si>
    <t>0913100</t>
  </si>
  <si>
    <t>1100</t>
  </si>
  <si>
    <t xml:space="preserve"> - утримання управління екології, охорони навколишнього середовища та земельних відносин Южноукраїнської міської ради</t>
  </si>
  <si>
    <t>2816000</t>
  </si>
  <si>
    <t xml:space="preserve"> - міська програма охорони довкілля та раціонального природокористування міста Южноукраїнська на 2016-2020 роки</t>
  </si>
  <si>
    <t>2816030</t>
  </si>
  <si>
    <t>2817130</t>
  </si>
  <si>
    <t>7130</t>
  </si>
  <si>
    <t>Здійснення  заходів із землеустрою</t>
  </si>
  <si>
    <t xml:space="preserve"> - міська програма "Розвиток земельних відносин на 2017-2021 роки" </t>
  </si>
  <si>
    <t>2818000</t>
  </si>
  <si>
    <t>2918110</t>
  </si>
  <si>
    <t>2918120</t>
  </si>
  <si>
    <t>Заходи з організації рятування на водах                                               (утримання рятувального поста)</t>
  </si>
  <si>
    <t>2919800</t>
  </si>
  <si>
    <t>2918230</t>
  </si>
  <si>
    <t>8230</t>
  </si>
  <si>
    <t>Інші заходи громадського порядку та безпеки</t>
  </si>
  <si>
    <t xml:space="preserve">Інша діяльність </t>
  </si>
  <si>
    <t xml:space="preserve">Економічна діяльність </t>
  </si>
  <si>
    <t>3716000</t>
  </si>
  <si>
    <t>3716072</t>
  </si>
  <si>
    <t>6072</t>
  </si>
  <si>
    <t>3716070</t>
  </si>
  <si>
    <t>6070</t>
  </si>
  <si>
    <t>Регулювання цін/тарифів на житлово-комунальні послуги</t>
  </si>
  <si>
    <t>3717300</t>
  </si>
  <si>
    <t>3717310</t>
  </si>
  <si>
    <t>Будівництво об'єктів житлово-комунального господарства (кошти міського бюджету розвитку на фінансування об'єктів за напрямами та заходами, що будуть визначені рішеннями міської ради при внесенні змін до бюджету міста Южноукраїнська на 2017 рік )</t>
  </si>
  <si>
    <t>3718700</t>
  </si>
  <si>
    <t>3719110</t>
  </si>
  <si>
    <t>9110</t>
  </si>
  <si>
    <t>Багатопрофільна стационарна медична допомога населенню, в тому числі:</t>
  </si>
  <si>
    <t>3230</t>
  </si>
  <si>
    <t>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                                    в тому числі :</t>
  </si>
  <si>
    <r>
      <t xml:space="preserve"> - медична</t>
    </r>
    <r>
      <rPr>
        <i/>
        <sz val="14"/>
        <color indexed="62"/>
        <rFont val="Times New Roman"/>
        <family val="1"/>
      </rPr>
      <t xml:space="preserve"> субвенція з державного бюджету</t>
    </r>
  </si>
  <si>
    <r>
      <t xml:space="preserve"> - медична </t>
    </r>
    <r>
      <rPr>
        <i/>
        <sz val="14"/>
        <color indexed="62"/>
        <rFont val="Times New Roman"/>
        <family val="1"/>
      </rPr>
      <t>субвенція з державного бюджету</t>
    </r>
  </si>
  <si>
    <t xml:space="preserve">Надання пільг на придбання твердого та рідкого пічного побутового палива і скрапленого газу окремим категоріям громадян відповідно до законодавства </t>
  </si>
  <si>
    <t xml:space="preserve">Надання субсидій населенню для відшкодування витрат на придбання твердого та рідкого пічного побутового палива і скрапленого газу </t>
  </si>
  <si>
    <t xml:space="preserve">Надання пільг на оплату житлово-комунальних послуг окремим категоріям громадян відповідно до законодавства </t>
  </si>
  <si>
    <t xml:space="preserve">Надання субсидій населенню для відшкодування витрат на оплату житлово-комунальних послуг </t>
  </si>
  <si>
    <t>0812145</t>
  </si>
  <si>
    <t>0611161</t>
  </si>
  <si>
    <t>1161</t>
  </si>
  <si>
    <t>0611162</t>
  </si>
  <si>
    <t>1162</t>
  </si>
  <si>
    <t>Інші програми та заходи у сфері освіти</t>
  </si>
  <si>
    <t>0812111</t>
  </si>
  <si>
    <t>2111</t>
  </si>
  <si>
    <t>0726</t>
  </si>
  <si>
    <t xml:space="preserve"> Первинна медична допомога населенню, що надається центрами первинної медичної (медико-санітарної) допомоги, в тому числі:</t>
  </si>
  <si>
    <t>1251</t>
  </si>
  <si>
    <t>0812152</t>
  </si>
  <si>
    <t>0812151</t>
  </si>
  <si>
    <t>Забезпечення діяльності інших закладів у сфері охорони здоров’я</t>
  </si>
  <si>
    <t>Інші програми та заходи у сфері охорони здоров’я</t>
  </si>
  <si>
    <r>
      <t xml:space="preserve"> - відшкодування вартості лікарських засобів для лікування окремих захворювань за рахунок відповіднї </t>
    </r>
    <r>
      <rPr>
        <i/>
        <sz val="14"/>
        <color indexed="62"/>
        <rFont val="Times New Roman"/>
        <family val="1"/>
      </rPr>
      <t>субвенції з державного бюджету</t>
    </r>
  </si>
  <si>
    <r>
      <t xml:space="preserve"> -  здійснення переданих видатків у сфері охорони здоров’я за рахунок коштів медичної </t>
    </r>
    <r>
      <rPr>
        <i/>
        <sz val="14"/>
        <color indexed="56"/>
        <rFont val="Times New Roman"/>
        <family val="1"/>
      </rPr>
      <t>субвенції з державного бюджету</t>
    </r>
    <r>
      <rPr>
        <i/>
        <sz val="14"/>
        <rFont val="Times New Roman"/>
        <family val="1"/>
      </rPr>
      <t xml:space="preserve">   (за рахунок цільових видатків на  лікування хворих на цукровий та нецукровий діабет)</t>
    </r>
  </si>
  <si>
    <t>Надання державної соціальної допомоги малозабезпеченим сім’ям</t>
  </si>
  <si>
    <t>Надання державної соціальної допомоги особам з інвалідністю з дитинства та дітям з інвалідністю</t>
  </si>
  <si>
    <t>0813081</t>
  </si>
  <si>
    <t>3081</t>
  </si>
  <si>
    <t>Надання допомоги по догляду за особами з інвалідністю I чи II групи внаслідок психічного розладу</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</si>
  <si>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</si>
  <si>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0813172</t>
  </si>
  <si>
    <t>3172</t>
  </si>
  <si>
    <t>0813171</t>
  </si>
  <si>
    <t>3171</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</si>
  <si>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</si>
  <si>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3191</t>
  </si>
  <si>
    <t>0813191</t>
  </si>
  <si>
    <r>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r>
    <r>
      <rPr>
        <sz val="14"/>
        <color indexed="56"/>
        <rFont val="Times New Roman"/>
        <family val="1"/>
      </rPr>
      <t xml:space="preserve"> (субвенція з обласного бюджету за рахунок коштів державного бюджету)</t>
    </r>
  </si>
  <si>
    <t>3242</t>
  </si>
  <si>
    <t>3210</t>
  </si>
  <si>
    <t>0813210</t>
  </si>
  <si>
    <t>0613210</t>
  </si>
  <si>
    <t>0817691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</si>
  <si>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</si>
  <si>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</si>
  <si>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0617691</t>
  </si>
  <si>
    <t>Субвенції з місцевого бюджету іншим місцевим бюджетам на здійснення програм та заходів за рахунок коштів місцевих бюджетів</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</si>
  <si>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</si>
  <si>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0813192</t>
  </si>
  <si>
    <t>Надання фінансової підтримки громадським організаціям ветеранів і осіб з інвалідністю, діяльність яких має соціальну спрямованість</t>
  </si>
  <si>
    <t>7370</t>
  </si>
  <si>
    <t>Утримання та розвиток автомобільних доріг та дорожньої інфраструктури за рахунок коштів місцевого бюджету</t>
  </si>
  <si>
    <t>7461</t>
  </si>
  <si>
    <t>1917691</t>
  </si>
  <si>
    <t>7693</t>
  </si>
  <si>
    <t>Інші заходи, пов'язані з економічною діяльністю</t>
  </si>
  <si>
    <t>3716090</t>
  </si>
  <si>
    <t>6090</t>
  </si>
  <si>
    <t>Інша діяльність у сфері житлово-комунального господарства</t>
  </si>
  <si>
    <t xml:space="preserve"> - зарезервовані кошти міського бюджету на фінансування напрямів та заходів, що  будуть визначені рішенням міської ради при внесенні змін до бюджету міста Южноукраїнська на 2018 рік (відповідно до п.6 цього рішення) </t>
  </si>
  <si>
    <r>
      <t xml:space="preserve">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t>
    </r>
    <r>
      <rPr>
        <i/>
        <sz val="14"/>
        <color indexed="56"/>
        <rFont val="Times New Roman"/>
        <family val="1"/>
      </rPr>
      <t>за рахунок субвенції з державного бюджету</t>
    </r>
  </si>
  <si>
    <t>3710160</t>
  </si>
  <si>
    <t>3712000</t>
  </si>
  <si>
    <t>3712010</t>
  </si>
  <si>
    <t>1014081</t>
  </si>
  <si>
    <t>4081</t>
  </si>
  <si>
    <t xml:space="preserve">Забезпечення діяльності інших закладів в галузі культури і мистецтва </t>
  </si>
  <si>
    <t>Інші заходи в галузі культури і мистецтва</t>
  </si>
  <si>
    <t>1014082</t>
  </si>
  <si>
    <t>4082</t>
  </si>
  <si>
    <t>1217693</t>
  </si>
  <si>
    <t>1210160</t>
  </si>
  <si>
    <t>1210000</t>
  </si>
  <si>
    <t>1200000</t>
  </si>
  <si>
    <t xml:space="preserve">Начальник фінансового управління Южноукраїнської міської ради </t>
  </si>
  <si>
    <t>3083</t>
  </si>
  <si>
    <t>0813083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</si>
  <si>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</si>
  <si>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</si>
  <si>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</si>
  <si>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 xml:space="preserve">Видатки на поховання учасників бойових дій та осіб з інвалідністю внаслідок війни(субвенція з обласного бюджету) </t>
  </si>
  <si>
    <t>3192</t>
  </si>
  <si>
    <t>0813242</t>
  </si>
  <si>
    <t>Інші заходи у сфері соціального захисту і соціального забезпечення</t>
  </si>
  <si>
    <t>0813121</t>
  </si>
  <si>
    <t>2152</t>
  </si>
  <si>
    <t>0813082</t>
  </si>
  <si>
    <t>3082</t>
  </si>
  <si>
    <t>0200000</t>
  </si>
  <si>
    <t>0210000</t>
  </si>
  <si>
    <t>0210150</t>
  </si>
  <si>
    <t xml:space="preserve"> - надання допомоги дітям-сиротам та дітям, позбавленим батьківського піклування, яким виповнюється 18 років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</si>
  <si>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</si>
  <si>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3718500</t>
  </si>
  <si>
    <t>8500</t>
  </si>
  <si>
    <r>
      <t xml:space="preserve">Нерозподілені трансферти з державного бюджету, </t>
    </r>
    <r>
      <rPr>
        <sz val="14"/>
        <rFont val="Times New Roman"/>
        <family val="1"/>
      </rPr>
      <t xml:space="preserve">
із них:</t>
    </r>
  </si>
  <si>
    <t xml:space="preserve"> - 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</si>
  <si>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2818340</t>
  </si>
  <si>
    <t>8340</t>
  </si>
  <si>
    <t>0540</t>
  </si>
  <si>
    <t>Компенсаційні виплати особам з інвалідністю на бензин, ремонт, технічне обслуговування автомобілів, мотоколясок і на транспортне обслуговування (субвенція з обласного бюджету)</t>
  </si>
  <si>
    <t>Встановлення телефонів особам з інвалідністю I і II груп (субвенція з обласного бюджету)</t>
  </si>
  <si>
    <t>Багатопрофільна стаціонарна медична допомога населенню, в тому числі:</t>
  </si>
  <si>
    <t>0218220</t>
  </si>
  <si>
    <t xml:space="preserve"> - утримання управління освіти Южноукраїнської міської ради</t>
  </si>
  <si>
    <t xml:space="preserve"> -  кошти міського бюджету</t>
  </si>
  <si>
    <t xml:space="preserve"> - міська комплексна програма "Турбота" на 2018 - 2022 роки</t>
  </si>
  <si>
    <t>0813122</t>
  </si>
  <si>
    <t>3122</t>
  </si>
  <si>
    <t>Заходи державної політики із забезпечення рівних прав та можливостей жінок та чоловіків</t>
  </si>
  <si>
    <t xml:space="preserve"> - міська комплексна програма "Турбота" на 2018 - 2022 роки </t>
  </si>
  <si>
    <t>1216030</t>
  </si>
  <si>
    <t>1217310</t>
  </si>
  <si>
    <t>0210180</t>
  </si>
  <si>
    <t>Інша діяльність у сфері державного управління</t>
  </si>
  <si>
    <t>0217680</t>
  </si>
  <si>
    <t>7680</t>
  </si>
  <si>
    <t>Членські внески до асоціацій органів місцевого самоврядування</t>
  </si>
  <si>
    <t xml:space="preserve"> - міська програма "Наше місто"на 2015-2019 роки</t>
  </si>
  <si>
    <t xml:space="preserve"> - міська програма щодо організації мобілізаційної роботи в м.Южноукраїнську на 2018-2021роки)</t>
  </si>
  <si>
    <t xml:space="preserve"> -  міська програма  "Фонд міської ради на виконання депутатських повноважень" на 2018-2020 роки </t>
  </si>
  <si>
    <t xml:space="preserve">  - утримання дитячої школи містецтв</t>
  </si>
  <si>
    <t xml:space="preserve"> - субвенція з державного бюджету місцевим бюджетам на здійснення заходів щодо соціально-економічного розвитку окремих територій</t>
  </si>
  <si>
    <t xml:space="preserve"> - 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</si>
  <si>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1216040</t>
  </si>
  <si>
    <t>6040</t>
  </si>
  <si>
    <t>Заходи, пов’язані з поліпшенням питної води</t>
  </si>
  <si>
    <t xml:space="preserve"> - міська програма Питна вода  міста  Южноукраїнська на 2007-2020 роки </t>
  </si>
  <si>
    <t>1216090</t>
  </si>
  <si>
    <t>1218340</t>
  </si>
  <si>
    <t>Природоохоронні заходи за рахунок цільових фондів</t>
  </si>
  <si>
    <t>2817370</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</si>
  <si>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t>
  </si>
  <si>
    <t>3717370</t>
  </si>
  <si>
    <t xml:space="preserve"> - міська програма  "Фонд міської ради на виконання депутатських повноважень" на 2018-2020 роки</t>
  </si>
  <si>
    <t>1017691</t>
  </si>
  <si>
    <t>1216000</t>
  </si>
  <si>
    <t>1216011</t>
  </si>
  <si>
    <t>1216012</t>
  </si>
  <si>
    <t>1216013</t>
  </si>
  <si>
    <t>1216014</t>
  </si>
  <si>
    <t>1216015</t>
  </si>
  <si>
    <t>1216016</t>
  </si>
  <si>
    <t>1216017</t>
  </si>
  <si>
    <t>1217321</t>
  </si>
  <si>
    <t>1217370</t>
  </si>
  <si>
    <t>1217461</t>
  </si>
  <si>
    <t>1211010</t>
  </si>
  <si>
    <t xml:space="preserve">Надання дошкільної освіти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</si>
  <si>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t>
  </si>
  <si>
    <t>1211020</t>
  </si>
  <si>
    <t xml:space="preserve">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                                    </t>
  </si>
  <si>
    <t xml:space="preserve"> - субвенція на фінансування заходів соціально-економічної компенсації ризику населення, яке проживає на території  зони спостереження</t>
  </si>
  <si>
    <t>- міська програма підтримки об'єднань співвласників багатоквартирних будинків на 2016-2018 роки  в новій редакції</t>
  </si>
  <si>
    <t>1217330</t>
  </si>
  <si>
    <t>7330</t>
  </si>
  <si>
    <t>Будівництво інших об'єктів соціальної та виробничої інфраструктури комунальної власності</t>
  </si>
  <si>
    <t>1217361</t>
  </si>
  <si>
    <t>7361</t>
  </si>
  <si>
    <t>Співфінансування інвестиційних проектів, що реалізуються за рахунок коштів державного фонду регіонального розвитку</t>
  </si>
  <si>
    <t xml:space="preserve">- міська програма "Розвиток земельних відносин на 2017-2021 роки" </t>
  </si>
  <si>
    <t>2917370</t>
  </si>
  <si>
    <t>1217364</t>
  </si>
  <si>
    <t>7364</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</si>
  <si>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</si>
  <si>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 xml:space="preserve"> - міська програма приватизації майна комунальної власності територіальної громади міста Южноукраїнська на 2018-2020 роки</t>
  </si>
  <si>
    <t>від____________2018_№_________</t>
  </si>
  <si>
    <t xml:space="preserve"> - зарезервовані кошти міського бюджету на фінансування напрямів та заходів в галузі охорона здоров'я, що  будуть визначені рішенням міської ради при внесенні змін до бюджету міста Южноукраїнська на 2018 рік  (п.6 рішення міської ради від 19.12.2017 №953 "Про бюджет міста Южноукраїнськ на 2018 рік")</t>
  </si>
  <si>
    <t xml:space="preserve"> - міська програма зайнятості  населення міста Южноукраїнська в частині оплачуваних громадських робіт</t>
  </si>
  <si>
    <t>Програми і централізовані заходи з імунопрофілактики (Міська програма «Охорона здоров`я в місті Южноукраїнську» на  2017-2022 роки)</t>
  </si>
  <si>
    <r>
      <t>Програми і централізовані заходи боротьби з туберкульозом</t>
    </r>
    <r>
      <rPr>
        <i/>
        <sz val="14"/>
        <color indexed="10"/>
        <rFont val="Times New Roman"/>
        <family val="1"/>
      </rPr>
      <t xml:space="preserve"> </t>
    </r>
    <r>
      <rPr>
        <i/>
        <sz val="14"/>
        <color indexed="8"/>
        <rFont val="Times New Roman"/>
        <family val="1"/>
      </rPr>
      <t>(Міська програма «Охорона здоров`я в місті Южноукраїнську» на  2017-2022 роки)</t>
    </r>
  </si>
  <si>
    <t>Програми і централізовані заходи профілактики ВІЛ-інфекції/СНІДу (Міська програма «Охорона здоров`я в місті Южноукраїнську» на  2017-2022 роки)</t>
  </si>
  <si>
    <t>Централізовані заходи з лікування онкологічних хворих (Міська програма «Охорона здоров`я в місті Южноукраїнську» на  2017-2022 роки)</t>
  </si>
  <si>
    <t xml:space="preserve"> - міська програма «Охорона здоров`я в місті Южноукраїнську» на  2017-2022 роки в частині розвитку донорства крові  та її компонентів </t>
  </si>
  <si>
    <t xml:space="preserve"> - міська програма «Охорона здоров`я в місті Южноукраїнську» на  2017-2022 роки в частині запобігання та лікування  серцево-судинних та судинно-мозкових захворювань </t>
  </si>
  <si>
    <t xml:space="preserve"> - міська програма «Охорона здоров`я в місті Южноукраїнську» на  2017-2022 роки в частині репродуктивного здоров'я населення міста </t>
  </si>
  <si>
    <t xml:space="preserve"> - міська програма «Охорона здоров`я в місті Южноукраїнську» на  2017-2022 рок в частині реформування медичного обслуговування населення міста </t>
  </si>
  <si>
    <t>8700</t>
  </si>
  <si>
    <t>Заходи із запобігання та ліквідації надзвичайних ситуацій та наслідків стихійного лиха</t>
  </si>
  <si>
    <t xml:space="preserve"> - міська програма  "Фонд міської ради на виконання депутатських повноважень" на 2018-2020 роки </t>
  </si>
  <si>
    <t xml:space="preserve"> -  міська програма  "Фонд міської ради на виконання депутатських повноважень" на 2018-2020 роки</t>
  </si>
  <si>
    <t xml:space="preserve"> - утримання централізованої бухгалтерії </t>
  </si>
  <si>
    <t xml:space="preserve"> - утримання групи господарського обслуговування</t>
  </si>
  <si>
    <t xml:space="preserve"> Забезпечення діяльності інших закладів у сфері освіти, в тому числі: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</si>
  <si>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в тому числі:</t>
  </si>
  <si>
    <t>Забезпечення діяльності палаців i будинків культури, клубів, центрів дозвілля та iнших клубних закладів, в тому числі:</t>
  </si>
  <si>
    <t xml:space="preserve"> - утримання Южноукраїнського міського центру культури та дозвілля </t>
  </si>
  <si>
    <t xml:space="preserve"> -  за рахунок залишку коштів медичної субвенції з державного бюджету станом на 01.01.2018</t>
  </si>
  <si>
    <t xml:space="preserve"> - залишок коштів медичної субвенції з державного бюджету станом на 01.01.2018</t>
  </si>
  <si>
    <t xml:space="preserve"> - залишок коштів освітньої субвенції з державного бюджету станом на 01.01.2018</t>
  </si>
  <si>
    <r>
      <t xml:space="preserve"> - освітня </t>
    </r>
    <r>
      <rPr>
        <i/>
        <sz val="14"/>
        <color indexed="62"/>
        <rFont val="Times New Roman"/>
        <family val="1"/>
      </rPr>
      <t>субвенція з державного бюджету</t>
    </r>
  </si>
  <si>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</si>
  <si>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0813084</t>
  </si>
  <si>
    <t>3084</t>
  </si>
  <si>
    <t>0812146</t>
  </si>
  <si>
    <t>2146</t>
  </si>
  <si>
    <t xml:space="preserve"> - міська програма розвитку  дорожнього руху та його безпеки в місті Южноукраїнську  на 2018-2022 роки</t>
  </si>
  <si>
    <r>
      <t>Відшкодування вартості лікарських засобів для лікування окремих захворювань</t>
    </r>
    <r>
      <rPr>
        <i/>
        <sz val="14"/>
        <color indexed="56"/>
        <rFont val="Times New Roman"/>
        <family val="1"/>
      </rPr>
      <t xml:space="preserve"> (субвенція з обласного бюджету за рахунок коштів державного бюджету) </t>
    </r>
  </si>
  <si>
    <t>Додаток №2</t>
  </si>
  <si>
    <t>Видатки загального фонду</t>
  </si>
  <si>
    <t>Затверджено на рік з урахуванням змін</t>
  </si>
  <si>
    <t>Виконано за звітний період</t>
  </si>
  <si>
    <t>% виконання</t>
  </si>
  <si>
    <t>Відхилення</t>
  </si>
  <si>
    <t>в т.ч.,               бюджет розвитку</t>
  </si>
  <si>
    <t xml:space="preserve">В тому числі видатки за рахунок субвенцій з державного та обласного бюджету                                                                                                </t>
  </si>
  <si>
    <t xml:space="preserve"> - субвенції з обласного бюджету за рахунок залишку коштів освітньої субвенції, що утворився на початок бюджетного періоду</t>
  </si>
  <si>
    <t xml:space="preserve"> - кошти міського бюджету на співфінансування з обласним бюджетом на придбання персонального комп’ютера/ноутбука та техніки для друкування, копіювання, сканування та ламінування з витратними матеріалами для початкової школи </t>
  </si>
  <si>
    <t xml:space="preserve"> -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</si>
  <si>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 - 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</si>
  <si>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 - кошти міського бюджету на співфінансування з обласним бюджетом на забезпечення якісної, сучасної та доступної загальної середньої освіти «Нова українська школа» </t>
  </si>
  <si>
    <t xml:space="preserve">  -  кошти міського бюджету </t>
  </si>
  <si>
    <t xml:space="preserve"> -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</si>
  <si>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0619770</t>
  </si>
  <si>
    <t xml:space="preserve">Інші субвенції з місцевого бюджету </t>
  </si>
  <si>
    <t xml:space="preserve"> - субвенція з міського бюджету на співфінансування  з обласним  бюджетом видатків на закупівлю комп'ютерного обладнання для початкових класів  загальної середньої освіти</t>
  </si>
  <si>
    <t xml:space="preserve"> - міська соціальна програма Підтримки учасиків АТО та членів їх сімей на 2016-2020 року (субвенція з міського бюджету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2020 року Миколаївської обласної ради та міської соціальної програми підтримки учасників АТО та членів їх сімей, на 2016-2020 роки)</t>
  </si>
  <si>
    <t xml:space="preserve"> - утримання міжшкільного навчально-виробничого комбінату</t>
  </si>
  <si>
    <t>7322</t>
  </si>
  <si>
    <t>1217322</t>
  </si>
  <si>
    <t>міська комплексна програма з розроблення містобудівної документації території для формування містобудівного кадастру міста Южноукраїнська Миколаївської області на 2018 - 2022 роки</t>
  </si>
  <si>
    <t>0817363</t>
  </si>
  <si>
    <t>7363</t>
  </si>
  <si>
    <t xml:space="preserve">Виконання інвестиційних проектів в рамках здійснення заходів щодо соціально - економічного розвитку окремих територій </t>
  </si>
  <si>
    <t>субвенція з державного бюджету місцевим бюджетам на здійснення заходів щодо соціально - економічного розвитку окремих територій</t>
  </si>
  <si>
    <t>кошти міського бюджету на співфінансування з державним бюджетом придбання медичного обладнання для комунального закладу "Южноукраїнська міська лікарня"</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</si>
  <si>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</si>
  <si>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кошти міського бюджету на співфінансування з державним бюджетом на капітатльний ремонт ТРП-1 по вул.Дружби народів. 22-А</t>
  </si>
  <si>
    <t>2817691</t>
  </si>
  <si>
    <t>Виконання бюджету міста Южноукраїнська за видатками за 2018 рік</t>
  </si>
  <si>
    <t xml:space="preserve"> - міська програма «Охорона здоров`я в місті Южноукраїнську» на 2017-2022 роки в частині надання паліативної та хоспісної допомоги</t>
  </si>
  <si>
    <t>0617368</t>
  </si>
  <si>
    <t>7368</t>
  </si>
  <si>
    <t>Виконання інвестиційних проектів за рахунок субвенцій з інших бюджетів</t>
  </si>
  <si>
    <t xml:space="preserve"> - субвенція з обласного бюджету </t>
  </si>
  <si>
    <t>від__27.03._______2019_№_1448________</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</si>
</sst>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
    <numFmt numFmtId="194" formatCode="0.0000"/>
    <numFmt numFmtId="195" formatCode="0.00000"/>
    <numFmt numFmtId="196" formatCode="#,##0.0"/>
    <numFmt numFmtId="197" formatCode="#,##0.000"/>
    <numFmt numFmtId="198" formatCode="#,##0.00000"/>
    <numFmt numFmtId="199" formatCode="#,##0.0000"/>
    <numFmt numFmtId="200" formatCode="#,##0.000000"/>
    <numFmt numFmtId="201" formatCode="0_)"/>
    <numFmt numFmtId="202" formatCode="0.0000000"/>
    <numFmt numFmtId="203" formatCode="0.000000"/>
    <numFmt numFmtId="204" formatCode="#,##0.0000000"/>
    <numFmt numFmtId="205" formatCode="#,##0.00000000"/>
  </numFmts>
  <fonts count="77">
    <font>
      <sz val="10"/>
      <name val="Arial Cyr"/>
      <family val="0"/>
    </font>
    <font>
      <u val="single"/>
      <sz val="10"/>
      <color indexed="12"/>
      <name val="Arial Cyr"/>
      <family val="0"/>
    </font>
    <font>
      <u val="single"/>
      <sz val="10"/>
      <color indexed="36"/>
      <name val="Arial Cyr"/>
      <family val="0"/>
    </font>
    <font>
      <sz val="14"/>
      <name val="Times New Roman"/>
      <family val="1"/>
    </font>
    <font>
      <sz val="14"/>
      <color indexed="10"/>
      <name val="Times New Roman"/>
      <family val="1"/>
    </font>
    <font>
      <sz val="16"/>
      <name val="Times New Roman"/>
      <family val="1"/>
    </font>
    <font>
      <sz val="20"/>
      <name val="Times New Roman"/>
      <family val="1"/>
    </font>
    <font>
      <sz val="10"/>
      <name val="Times New Roman"/>
      <family val="1"/>
    </font>
    <font>
      <sz val="12"/>
      <name val="Times New Roman"/>
      <family val="1"/>
    </font>
    <font>
      <sz val="14"/>
      <color indexed="8"/>
      <name val="Times New Roman"/>
      <family val="1"/>
    </font>
    <font>
      <i/>
      <sz val="12"/>
      <name val="Times New Roman"/>
      <family val="1"/>
    </font>
    <font>
      <sz val="8"/>
      <name val="Arial Cyr"/>
      <family val="0"/>
    </font>
    <font>
      <sz val="14"/>
      <name val="Arial Cyr"/>
      <family val="2"/>
    </font>
    <font>
      <i/>
      <sz val="14"/>
      <name val="Times New Roman"/>
      <family val="1"/>
    </font>
    <font>
      <i/>
      <sz val="10"/>
      <name val="Arial Cyr"/>
      <family val="2"/>
    </font>
    <font>
      <b/>
      <sz val="14"/>
      <name val="Times New Roman"/>
      <family val="1"/>
    </font>
    <font>
      <i/>
      <sz val="14"/>
      <name val="Arial Cyr"/>
      <family val="0"/>
    </font>
    <font>
      <i/>
      <sz val="14"/>
      <color indexed="8"/>
      <name val="Times New Roman"/>
      <family val="1"/>
    </font>
    <font>
      <b/>
      <sz val="12"/>
      <name val="Times New Roman"/>
      <family val="1"/>
    </font>
    <font>
      <b/>
      <sz val="15"/>
      <color indexed="62"/>
      <name val="Calibri"/>
      <family val="2"/>
    </font>
    <font>
      <b/>
      <sz val="11"/>
      <color indexed="62"/>
      <name val="Calibri"/>
      <family val="2"/>
    </font>
    <font>
      <b/>
      <sz val="18"/>
      <color indexed="62"/>
      <name val="Cambria"/>
      <family val="2"/>
    </font>
    <font>
      <b/>
      <i/>
      <sz val="14"/>
      <name val="Times New Roman"/>
      <family val="1"/>
    </font>
    <font>
      <b/>
      <i/>
      <sz val="16"/>
      <name val="Times New Roman"/>
      <family val="1"/>
    </font>
    <font>
      <i/>
      <sz val="14"/>
      <color indexed="10"/>
      <name val="Times New Roman"/>
      <family val="1"/>
    </font>
    <font>
      <b/>
      <sz val="16"/>
      <name val="Times New Roman"/>
      <family val="1"/>
    </font>
    <font>
      <i/>
      <sz val="10"/>
      <name val="Times New Roman"/>
      <family val="1"/>
    </font>
    <font>
      <sz val="18"/>
      <name val="Times New Roman"/>
      <family val="1"/>
    </font>
    <font>
      <sz val="18"/>
      <name val="Arial Cyr"/>
      <family val="0"/>
    </font>
    <font>
      <b/>
      <sz val="10"/>
      <name val="Arial Cyr"/>
      <family val="0"/>
    </font>
    <font>
      <b/>
      <sz val="14"/>
      <name val="Arial Cyr"/>
      <family val="0"/>
    </font>
    <font>
      <i/>
      <sz val="12"/>
      <name val="Arial Cyr"/>
      <family val="2"/>
    </font>
    <font>
      <i/>
      <sz val="14"/>
      <color indexed="62"/>
      <name val="Times New Roman"/>
      <family val="1"/>
    </font>
    <font>
      <sz val="14"/>
      <color indexed="56"/>
      <name val="Times New Roman"/>
      <family val="1"/>
    </font>
    <font>
      <i/>
      <sz val="14"/>
      <color indexed="56"/>
      <name val="Times New Roman"/>
      <family val="1"/>
    </font>
    <font>
      <b/>
      <i/>
      <sz val="14"/>
      <color indexed="8"/>
      <name val="Times New Roman"/>
      <family val="1"/>
    </font>
    <font>
      <b/>
      <sz val="14"/>
      <color indexed="8"/>
      <name val="Times New Roman"/>
      <family val="1"/>
    </font>
    <font>
      <sz val="22"/>
      <name val="Times New Roman"/>
      <family val="1"/>
    </font>
    <font>
      <sz val="22"/>
      <name val="Arial Cyr"/>
      <family val="0"/>
    </font>
    <font>
      <sz val="24"/>
      <name val="Times New Roman"/>
      <family val="1"/>
    </font>
    <font>
      <sz val="26"/>
      <name val="Times New Roman"/>
      <family val="1"/>
    </font>
    <font>
      <sz val="2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9"/>
      <name val="Times New Roman"/>
      <family val="1"/>
    </font>
    <font>
      <sz val="16"/>
      <color indexed="8"/>
      <name val="Times New Roman"/>
      <family val="1"/>
    </font>
    <font>
      <sz val="16"/>
      <color indexed="3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4"/>
      <color rgb="FFFF0000"/>
      <name val="Times New Roman"/>
      <family val="1"/>
    </font>
    <font>
      <sz val="14"/>
      <color theme="0"/>
      <name val="Times New Roman"/>
      <family val="1"/>
    </font>
    <font>
      <sz val="16"/>
      <color rgb="FF000000"/>
      <name val="Times New Roman"/>
      <family val="1"/>
    </font>
    <font>
      <sz val="16"/>
      <color rgb="FF0070C0"/>
      <name val="Times New Roman"/>
      <family val="1"/>
    </font>
    <font>
      <i/>
      <sz val="14"/>
      <color theme="1"/>
      <name val="Times New Roman"/>
      <family val="1"/>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7" tint="0.5999900102615356"/>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2"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7" borderId="0" applyNumberFormat="0" applyBorder="0" applyAlignment="0" applyProtection="0"/>
    <xf numFmtId="0" fontId="59" fillId="10" borderId="0" applyNumberFormat="0" applyBorder="0" applyAlignment="0" applyProtection="0"/>
    <xf numFmtId="0" fontId="59" fillId="3"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7" borderId="0" applyNumberFormat="0" applyBorder="0" applyAlignment="0" applyProtection="0"/>
    <xf numFmtId="0" fontId="60" fillId="13" borderId="0" applyNumberFormat="0" applyBorder="0" applyAlignment="0" applyProtection="0"/>
    <xf numFmtId="0" fontId="60" fillId="3" borderId="0" applyNumberFormat="0" applyBorder="0" applyAlignment="0" applyProtection="0"/>
    <xf numFmtId="0" fontId="60" fillId="11"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1" fillId="19" borderId="1" applyNumberFormat="0" applyAlignment="0" applyProtection="0"/>
    <xf numFmtId="0" fontId="62" fillId="2" borderId="2" applyNumberFormat="0" applyAlignment="0" applyProtection="0"/>
    <xf numFmtId="0" fontId="63" fillId="2"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47"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64" fillId="0" borderId="6" applyNumberFormat="0" applyFill="0" applyAlignment="0" applyProtection="0"/>
    <xf numFmtId="0" fontId="65" fillId="20" borderId="7" applyNumberFormat="0" applyAlignment="0" applyProtection="0"/>
    <xf numFmtId="0" fontId="21" fillId="0" borderId="0" applyNumberFormat="0" applyFill="0" applyBorder="0" applyAlignment="0" applyProtection="0"/>
    <xf numFmtId="0" fontId="66" fillId="21" borderId="0" applyNumberFormat="0" applyBorder="0" applyAlignment="0" applyProtection="0"/>
    <xf numFmtId="0" fontId="2" fillId="0" borderId="0" applyNumberFormat="0" applyFill="0" applyBorder="0" applyAlignment="0" applyProtection="0"/>
    <xf numFmtId="0" fontId="67" fillId="22" borderId="0" applyNumberFormat="0" applyBorder="0" applyAlignment="0" applyProtection="0"/>
    <xf numFmtId="0" fontId="6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24" borderId="0" applyNumberFormat="0" applyBorder="0" applyAlignment="0" applyProtection="0"/>
  </cellStyleXfs>
  <cellXfs count="229">
    <xf numFmtId="0" fontId="0" fillId="0" borderId="0" xfId="0" applyAlignment="1">
      <alignment/>
    </xf>
    <xf numFmtId="0" fontId="3" fillId="0" borderId="0" xfId="0" applyFont="1" applyFill="1" applyAlignment="1">
      <alignment wrapText="1"/>
    </xf>
    <xf numFmtId="0" fontId="3" fillId="0" borderId="0" xfId="0" applyFont="1" applyFill="1" applyAlignment="1">
      <alignment/>
    </xf>
    <xf numFmtId="188" fontId="3" fillId="0" borderId="0" xfId="0" applyNumberFormat="1" applyFont="1" applyFill="1" applyBorder="1" applyAlignment="1">
      <alignment wrapText="1"/>
    </xf>
    <xf numFmtId="49" fontId="3" fillId="0" borderId="0" xfId="0" applyNumberFormat="1" applyFont="1" applyFill="1" applyBorder="1" applyAlignment="1">
      <alignment horizontal="center" wrapText="1"/>
    </xf>
    <xf numFmtId="193" fontId="3" fillId="0" borderId="0" xfId="0" applyNumberFormat="1" applyFont="1" applyFill="1" applyAlignment="1">
      <alignment wrapText="1"/>
    </xf>
    <xf numFmtId="0" fontId="3" fillId="0" borderId="0" xfId="0" applyFont="1" applyFill="1" applyBorder="1" applyAlignment="1">
      <alignment/>
    </xf>
    <xf numFmtId="0" fontId="6" fillId="0" borderId="0" xfId="0" applyFont="1" applyFill="1" applyAlignment="1">
      <alignment/>
    </xf>
    <xf numFmtId="0" fontId="7" fillId="0" borderId="0" xfId="0" applyFont="1" applyFill="1" applyAlignment="1">
      <alignment/>
    </xf>
    <xf numFmtId="0" fontId="0" fillId="0" borderId="0" xfId="0" applyFont="1" applyFill="1" applyAlignment="1">
      <alignment/>
    </xf>
    <xf numFmtId="198" fontId="3" fillId="0" borderId="0" xfId="0" applyNumberFormat="1" applyFont="1" applyFill="1" applyAlignment="1">
      <alignment wrapText="1"/>
    </xf>
    <xf numFmtId="198" fontId="8" fillId="0" borderId="0" xfId="0" applyNumberFormat="1" applyFont="1" applyFill="1" applyBorder="1" applyAlignment="1">
      <alignment wrapText="1"/>
    </xf>
    <xf numFmtId="198" fontId="3" fillId="0" borderId="0" xfId="0" applyNumberFormat="1" applyFont="1" applyFill="1" applyBorder="1" applyAlignment="1">
      <alignment wrapText="1"/>
    </xf>
    <xf numFmtId="197" fontId="8" fillId="0" borderId="0" xfId="0" applyNumberFormat="1" applyFont="1" applyFill="1" applyBorder="1" applyAlignment="1">
      <alignment wrapText="1"/>
    </xf>
    <xf numFmtId="0" fontId="0" fillId="0" borderId="0" xfId="0" applyFont="1" applyFill="1" applyAlignment="1">
      <alignment wrapText="1"/>
    </xf>
    <xf numFmtId="0" fontId="8" fillId="0" borderId="0" xfId="0" applyFont="1" applyFill="1" applyBorder="1" applyAlignment="1">
      <alignment/>
    </xf>
    <xf numFmtId="0" fontId="10" fillId="0" borderId="0" xfId="0" applyFont="1" applyFill="1" applyBorder="1" applyAlignment="1">
      <alignment/>
    </xf>
    <xf numFmtId="198" fontId="0" fillId="0" borderId="0" xfId="0" applyNumberFormat="1" applyFont="1" applyFill="1" applyBorder="1" applyAlignment="1">
      <alignment/>
    </xf>
    <xf numFmtId="0" fontId="5" fillId="0" borderId="0" xfId="0" applyFont="1" applyFill="1" applyBorder="1" applyAlignment="1">
      <alignment/>
    </xf>
    <xf numFmtId="198" fontId="3" fillId="0" borderId="0" xfId="0" applyNumberFormat="1" applyFont="1" applyFill="1" applyBorder="1" applyAlignment="1">
      <alignment/>
    </xf>
    <xf numFmtId="188" fontId="0" fillId="0" borderId="0" xfId="0" applyNumberFormat="1" applyFont="1" applyFill="1" applyBorder="1" applyAlignment="1">
      <alignment wrapText="1"/>
    </xf>
    <xf numFmtId="197" fontId="3" fillId="0" borderId="0" xfId="0" applyNumberFormat="1" applyFont="1" applyFill="1" applyAlignment="1">
      <alignment wrapText="1"/>
    </xf>
    <xf numFmtId="188" fontId="0" fillId="0" borderId="0" xfId="0" applyNumberFormat="1" applyFont="1" applyFill="1" applyAlignment="1">
      <alignment wrapText="1"/>
    </xf>
    <xf numFmtId="193" fontId="0" fillId="0" borderId="0" xfId="0" applyNumberFormat="1" applyFont="1" applyFill="1" applyAlignment="1">
      <alignment wrapText="1"/>
    </xf>
    <xf numFmtId="0" fontId="3" fillId="0" borderId="0" xfId="0" applyFont="1" applyFill="1" applyAlignment="1">
      <alignment horizontal="center"/>
    </xf>
    <xf numFmtId="0" fontId="3" fillId="0" borderId="0" xfId="0" applyFont="1" applyFill="1" applyBorder="1" applyAlignment="1">
      <alignment horizontal="center"/>
    </xf>
    <xf numFmtId="0" fontId="12" fillId="0" borderId="0" xfId="0" applyFont="1" applyFill="1" applyAlignment="1">
      <alignment horizontal="center"/>
    </xf>
    <xf numFmtId="0" fontId="3" fillId="0" borderId="0" xfId="0" applyFont="1" applyFill="1" applyAlignment="1">
      <alignment horizontal="left" wrapText="1"/>
    </xf>
    <xf numFmtId="49" fontId="15" fillId="0" borderId="0" xfId="0" applyNumberFormat="1" applyFont="1" applyFill="1" applyBorder="1" applyAlignment="1">
      <alignment horizontal="center"/>
    </xf>
    <xf numFmtId="0" fontId="15" fillId="0" borderId="0" xfId="0" applyFont="1" applyFill="1" applyBorder="1" applyAlignment="1">
      <alignment horizontal="left" wrapText="1"/>
    </xf>
    <xf numFmtId="49" fontId="3" fillId="0" borderId="0" xfId="0" applyNumberFormat="1" applyFont="1" applyFill="1" applyBorder="1" applyAlignment="1">
      <alignment horizontal="center"/>
    </xf>
    <xf numFmtId="0" fontId="3" fillId="0" borderId="0" xfId="0" applyFont="1" applyFill="1" applyBorder="1" applyAlignment="1">
      <alignment horizontal="left" wrapText="1"/>
    </xf>
    <xf numFmtId="198" fontId="9"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13" fillId="0" borderId="0" xfId="0" applyNumberFormat="1" applyFont="1" applyFill="1" applyBorder="1" applyAlignment="1">
      <alignment horizontal="center" wrapText="1"/>
    </xf>
    <xf numFmtId="0" fontId="13" fillId="0" borderId="0" xfId="0" applyFont="1" applyFill="1" applyBorder="1" applyAlignment="1">
      <alignment wrapText="1"/>
    </xf>
    <xf numFmtId="198" fontId="13" fillId="0" borderId="0" xfId="0" applyNumberFormat="1" applyFont="1" applyFill="1" applyBorder="1" applyAlignment="1">
      <alignment wrapText="1"/>
    </xf>
    <xf numFmtId="0" fontId="13" fillId="0" borderId="0" xfId="0" applyFont="1" applyFill="1" applyBorder="1" applyAlignment="1">
      <alignment/>
    </xf>
    <xf numFmtId="0" fontId="3" fillId="0" borderId="0" xfId="0" applyFont="1" applyFill="1" applyBorder="1" applyAlignment="1">
      <alignment vertical="center" wrapText="1"/>
    </xf>
    <xf numFmtId="1" fontId="3" fillId="0" borderId="0" xfId="0" applyNumberFormat="1" applyFont="1" applyFill="1" applyBorder="1" applyAlignment="1">
      <alignment wrapText="1"/>
    </xf>
    <xf numFmtId="1" fontId="3" fillId="0" borderId="0" xfId="0" applyNumberFormat="1" applyFont="1" applyFill="1" applyBorder="1" applyAlignment="1">
      <alignment horizontal="left" wrapText="1"/>
    </xf>
    <xf numFmtId="0" fontId="3" fillId="0" borderId="0" xfId="0" applyFont="1" applyFill="1" applyBorder="1" applyAlignment="1">
      <alignment wrapText="1"/>
    </xf>
    <xf numFmtId="0" fontId="13" fillId="0" borderId="0" xfId="0" applyFont="1" applyFill="1" applyBorder="1" applyAlignment="1">
      <alignment horizontal="left" wrapText="1"/>
    </xf>
    <xf numFmtId="0" fontId="14" fillId="0" borderId="0" xfId="0" applyFont="1" applyFill="1" applyBorder="1" applyAlignment="1">
      <alignment/>
    </xf>
    <xf numFmtId="0" fontId="15" fillId="0" borderId="0" xfId="0" applyFont="1" applyFill="1" applyBorder="1" applyAlignment="1">
      <alignment wrapText="1"/>
    </xf>
    <xf numFmtId="198" fontId="10" fillId="0" borderId="0" xfId="0" applyNumberFormat="1" applyFont="1" applyFill="1" applyBorder="1" applyAlignment="1">
      <alignment wrapText="1"/>
    </xf>
    <xf numFmtId="0" fontId="15" fillId="0" borderId="0" xfId="0" applyFont="1" applyFill="1" applyBorder="1" applyAlignment="1">
      <alignment/>
    </xf>
    <xf numFmtId="1" fontId="13" fillId="0" borderId="0" xfId="0" applyNumberFormat="1" applyFont="1" applyFill="1" applyBorder="1" applyAlignment="1">
      <alignment horizontal="left" wrapText="1"/>
    </xf>
    <xf numFmtId="1" fontId="13" fillId="0" borderId="0" xfId="0" applyNumberFormat="1" applyFont="1" applyFill="1" applyBorder="1" applyAlignment="1">
      <alignment wrapText="1"/>
    </xf>
    <xf numFmtId="198" fontId="17" fillId="0" borderId="0" xfId="0" applyNumberFormat="1" applyFont="1" applyFill="1" applyBorder="1" applyAlignment="1" applyProtection="1">
      <alignment/>
      <protection locked="0"/>
    </xf>
    <xf numFmtId="198" fontId="5" fillId="0" borderId="0" xfId="0" applyNumberFormat="1" applyFont="1" applyFill="1" applyAlignment="1">
      <alignment wrapText="1"/>
    </xf>
    <xf numFmtId="0" fontId="5" fillId="0" borderId="0" xfId="0" applyFont="1" applyFill="1" applyAlignment="1">
      <alignment wrapText="1"/>
    </xf>
    <xf numFmtId="49" fontId="3" fillId="0" borderId="0" xfId="0" applyNumberFormat="1" applyFont="1" applyFill="1" applyAlignment="1">
      <alignment horizontal="center"/>
    </xf>
    <xf numFmtId="49" fontId="15" fillId="0" borderId="10" xfId="0" applyNumberFormat="1" applyFont="1" applyFill="1" applyBorder="1" applyAlignment="1">
      <alignment vertical="center" wrapText="1"/>
    </xf>
    <xf numFmtId="49" fontId="15" fillId="0" borderId="11" xfId="0" applyNumberFormat="1" applyFont="1" applyFill="1" applyBorder="1" applyAlignment="1">
      <alignment horizontal="center" vertical="center" wrapText="1"/>
    </xf>
    <xf numFmtId="0" fontId="7" fillId="0" borderId="12"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pplyProtection="1">
      <alignment horizontal="center"/>
      <protection locked="0"/>
    </xf>
    <xf numFmtId="0" fontId="7" fillId="0" borderId="11" xfId="0" applyFont="1" applyFill="1" applyBorder="1" applyAlignment="1">
      <alignment horizontal="center"/>
    </xf>
    <xf numFmtId="0" fontId="9" fillId="0" borderId="0" xfId="0" applyFont="1" applyFill="1" applyBorder="1" applyAlignment="1">
      <alignment wrapText="1"/>
    </xf>
    <xf numFmtId="198" fontId="15" fillId="0" borderId="0" xfId="0" applyNumberFormat="1" applyFont="1" applyFill="1" applyBorder="1" applyAlignment="1">
      <alignment wrapText="1"/>
    </xf>
    <xf numFmtId="49" fontId="10" fillId="0" borderId="0" xfId="0" applyNumberFormat="1" applyFont="1" applyFill="1" applyBorder="1" applyAlignment="1">
      <alignment horizontal="center"/>
    </xf>
    <xf numFmtId="0" fontId="10" fillId="0" borderId="0" xfId="0" applyFont="1" applyFill="1" applyBorder="1" applyAlignment="1">
      <alignment horizontal="left" wrapText="1"/>
    </xf>
    <xf numFmtId="188" fontId="10" fillId="0" borderId="0" xfId="0" applyNumberFormat="1" applyFont="1" applyFill="1" applyBorder="1" applyAlignment="1">
      <alignment wrapText="1"/>
    </xf>
    <xf numFmtId="0" fontId="0" fillId="0" borderId="0" xfId="0" applyFont="1" applyFill="1" applyBorder="1" applyAlignment="1">
      <alignment/>
    </xf>
    <xf numFmtId="0" fontId="18" fillId="0" borderId="0" xfId="0" applyFont="1" applyFill="1" applyBorder="1" applyAlignment="1">
      <alignment/>
    </xf>
    <xf numFmtId="1" fontId="15" fillId="0" borderId="0" xfId="0" applyNumberFormat="1" applyFont="1" applyFill="1" applyBorder="1" applyAlignment="1">
      <alignment wrapText="1"/>
    </xf>
    <xf numFmtId="49" fontId="13" fillId="0" borderId="0" xfId="0" applyNumberFormat="1" applyFont="1" applyFill="1" applyAlignment="1">
      <alignment horizontal="center"/>
    </xf>
    <xf numFmtId="0" fontId="12" fillId="0" borderId="0" xfId="0" applyFont="1" applyFill="1" applyBorder="1" applyAlignment="1">
      <alignment/>
    </xf>
    <xf numFmtId="198" fontId="3" fillId="0" borderId="0" xfId="0" applyNumberFormat="1" applyFont="1" applyFill="1" applyAlignment="1">
      <alignment horizontal="left" wrapText="1"/>
    </xf>
    <xf numFmtId="0" fontId="22" fillId="0" borderId="0" xfId="0" applyFont="1" applyFill="1" applyBorder="1" applyAlignment="1">
      <alignment/>
    </xf>
    <xf numFmtId="198" fontId="3" fillId="0" borderId="0" xfId="0" applyNumberFormat="1" applyFont="1" applyFill="1" applyAlignment="1">
      <alignment horizontal="right" wrapText="1"/>
    </xf>
    <xf numFmtId="198" fontId="18" fillId="0" borderId="0" xfId="0" applyNumberFormat="1" applyFont="1" applyFill="1" applyBorder="1" applyAlignment="1">
      <alignment wrapText="1"/>
    </xf>
    <xf numFmtId="2" fontId="3" fillId="0" borderId="0" xfId="0" applyNumberFormat="1" applyFont="1" applyFill="1" applyAlignment="1">
      <alignment wrapText="1"/>
    </xf>
    <xf numFmtId="2" fontId="3" fillId="0" borderId="0" xfId="0" applyNumberFormat="1" applyFont="1" applyFill="1" applyBorder="1" applyAlignment="1">
      <alignment wrapText="1"/>
    </xf>
    <xf numFmtId="0" fontId="25" fillId="0" borderId="0" xfId="0" applyFont="1" applyFill="1" applyBorder="1" applyAlignment="1">
      <alignment horizontal="left" wrapText="1"/>
    </xf>
    <xf numFmtId="0" fontId="26" fillId="0" borderId="0" xfId="0" applyFont="1" applyFill="1" applyBorder="1" applyAlignment="1">
      <alignment/>
    </xf>
    <xf numFmtId="0" fontId="27" fillId="0" borderId="0" xfId="0" applyFont="1" applyFill="1" applyAlignment="1">
      <alignment horizontal="center"/>
    </xf>
    <xf numFmtId="0" fontId="27" fillId="0" borderId="0" xfId="0" applyFont="1" applyFill="1" applyAlignment="1">
      <alignment/>
    </xf>
    <xf numFmtId="2" fontId="27" fillId="0" borderId="0" xfId="0" applyNumberFormat="1" applyFont="1" applyFill="1" applyAlignment="1">
      <alignment wrapText="1"/>
    </xf>
    <xf numFmtId="198" fontId="27" fillId="0" borderId="0" xfId="0" applyNumberFormat="1" applyFont="1" applyFill="1" applyAlignment="1">
      <alignment wrapText="1"/>
    </xf>
    <xf numFmtId="198" fontId="28" fillId="0" borderId="0" xfId="0" applyNumberFormat="1" applyFont="1" applyFill="1" applyAlignment="1">
      <alignment wrapText="1"/>
    </xf>
    <xf numFmtId="198" fontId="27" fillId="0" borderId="0" xfId="0" applyNumberFormat="1" applyFont="1" applyFill="1" applyAlignment="1">
      <alignment horizontal="center" wrapText="1"/>
    </xf>
    <xf numFmtId="198" fontId="29" fillId="0" borderId="0" xfId="0" applyNumberFormat="1" applyFont="1" applyFill="1" applyAlignment="1">
      <alignment/>
    </xf>
    <xf numFmtId="0" fontId="30" fillId="0" borderId="0" xfId="0" applyFont="1" applyFill="1" applyAlignment="1">
      <alignment/>
    </xf>
    <xf numFmtId="49" fontId="22" fillId="0" borderId="0" xfId="0" applyNumberFormat="1" applyFont="1" applyFill="1" applyBorder="1" applyAlignment="1">
      <alignment horizontal="center"/>
    </xf>
    <xf numFmtId="0" fontId="16" fillId="0" borderId="0" xfId="0" applyFont="1" applyFill="1" applyBorder="1" applyAlignment="1">
      <alignment/>
    </xf>
    <xf numFmtId="0" fontId="13" fillId="0" borderId="0" xfId="0" applyFont="1" applyFill="1" applyBorder="1" applyAlignment="1">
      <alignment vertical="center" wrapText="1"/>
    </xf>
    <xf numFmtId="0" fontId="17" fillId="0" borderId="0" xfId="0" applyFont="1" applyFill="1" applyBorder="1" applyAlignment="1">
      <alignment wrapText="1"/>
    </xf>
    <xf numFmtId="0" fontId="17" fillId="0" borderId="0" xfId="0" applyFont="1" applyFill="1" applyBorder="1" applyAlignment="1">
      <alignment horizontal="left" wrapText="1"/>
    </xf>
    <xf numFmtId="0" fontId="13" fillId="0" borderId="0" xfId="0" applyFont="1" applyFill="1" applyAlignment="1">
      <alignment horizontal="left" wrapText="1"/>
    </xf>
    <xf numFmtId="0" fontId="72" fillId="0" borderId="0" xfId="0" applyFont="1" applyFill="1" applyBorder="1" applyAlignment="1">
      <alignment horizontal="left" wrapText="1"/>
    </xf>
    <xf numFmtId="49" fontId="15" fillId="0" borderId="0" xfId="0" applyNumberFormat="1" applyFont="1" applyFill="1" applyBorder="1" applyAlignment="1">
      <alignment horizontal="center" wrapText="1"/>
    </xf>
    <xf numFmtId="49" fontId="15" fillId="0" borderId="0" xfId="0" applyNumberFormat="1" applyFont="1" applyFill="1" applyAlignment="1">
      <alignment horizontal="center"/>
    </xf>
    <xf numFmtId="0" fontId="72" fillId="0" borderId="0" xfId="0" applyFont="1" applyFill="1" applyBorder="1" applyAlignment="1">
      <alignment wrapText="1"/>
    </xf>
    <xf numFmtId="0" fontId="25" fillId="0" borderId="0" xfId="0" applyFont="1" applyFill="1" applyBorder="1" applyAlignment="1">
      <alignment/>
    </xf>
    <xf numFmtId="49" fontId="25" fillId="0" borderId="0" xfId="0" applyNumberFormat="1" applyFont="1" applyFill="1" applyBorder="1" applyAlignment="1">
      <alignment horizontal="center"/>
    </xf>
    <xf numFmtId="49" fontId="5" fillId="0" borderId="0" xfId="0" applyNumberFormat="1" applyFont="1" applyFill="1" applyBorder="1" applyAlignment="1">
      <alignment horizontal="center"/>
    </xf>
    <xf numFmtId="0" fontId="25" fillId="0" borderId="0" xfId="0" applyFont="1" applyFill="1" applyBorder="1" applyAlignment="1">
      <alignment wrapText="1"/>
    </xf>
    <xf numFmtId="1" fontId="25" fillId="0" borderId="0" xfId="0" applyNumberFormat="1" applyFont="1" applyFill="1" applyBorder="1" applyAlignment="1">
      <alignment horizontal="left" wrapText="1"/>
    </xf>
    <xf numFmtId="188" fontId="15" fillId="0" borderId="0" xfId="0" applyNumberFormat="1" applyFont="1" applyFill="1" applyBorder="1" applyAlignment="1">
      <alignment wrapText="1"/>
    </xf>
    <xf numFmtId="0" fontId="15" fillId="0" borderId="0" xfId="0" applyFont="1" applyFill="1" applyBorder="1" applyAlignment="1">
      <alignment horizontal="center"/>
    </xf>
    <xf numFmtId="1" fontId="25" fillId="0" borderId="0" xfId="0" applyNumberFormat="1" applyFont="1" applyFill="1" applyBorder="1" applyAlignment="1">
      <alignment wrapText="1"/>
    </xf>
    <xf numFmtId="2" fontId="27" fillId="0" borderId="0" xfId="0" applyNumberFormat="1" applyFont="1" applyFill="1" applyAlignment="1">
      <alignment horizontal="left" wrapText="1"/>
    </xf>
    <xf numFmtId="198" fontId="25" fillId="0" borderId="0" xfId="0" applyNumberFormat="1" applyFont="1" applyFill="1" applyBorder="1" applyAlignment="1">
      <alignment horizontal="right" wrapText="1"/>
    </xf>
    <xf numFmtId="198" fontId="25" fillId="0" borderId="0" xfId="0" applyNumberFormat="1" applyFont="1" applyFill="1" applyAlignment="1">
      <alignment horizontal="right" wrapText="1"/>
    </xf>
    <xf numFmtId="198" fontId="18" fillId="0" borderId="0" xfId="0" applyNumberFormat="1" applyFont="1" applyFill="1" applyAlignment="1">
      <alignment horizontal="right" wrapText="1"/>
    </xf>
    <xf numFmtId="188" fontId="18" fillId="0" borderId="0" xfId="0" applyNumberFormat="1" applyFont="1" applyFill="1" applyBorder="1" applyAlignment="1">
      <alignment horizontal="right" wrapText="1"/>
    </xf>
    <xf numFmtId="1" fontId="25" fillId="0" borderId="0" xfId="0" applyNumberFormat="1" applyFont="1" applyFill="1" applyBorder="1" applyAlignment="1">
      <alignment horizontal="right" wrapText="1"/>
    </xf>
    <xf numFmtId="198" fontId="18" fillId="0" borderId="0" xfId="0" applyNumberFormat="1" applyFont="1" applyFill="1" applyBorder="1" applyAlignment="1">
      <alignment horizontal="right" wrapText="1"/>
    </xf>
    <xf numFmtId="49" fontId="15" fillId="0" borderId="0" xfId="0" applyNumberFormat="1" applyFont="1" applyFill="1" applyAlignment="1">
      <alignment horizontal="right" wrapText="1"/>
    </xf>
    <xf numFmtId="49" fontId="15" fillId="0" borderId="0" xfId="0" applyNumberFormat="1" applyFont="1" applyFill="1" applyBorder="1" applyAlignment="1">
      <alignment horizontal="right" wrapText="1"/>
    </xf>
    <xf numFmtId="197" fontId="3" fillId="0" borderId="0" xfId="0" applyNumberFormat="1" applyFont="1" applyFill="1" applyBorder="1" applyAlignment="1">
      <alignment wrapText="1"/>
    </xf>
    <xf numFmtId="197" fontId="13" fillId="0" borderId="0" xfId="0" applyNumberFormat="1" applyFont="1" applyFill="1" applyBorder="1" applyAlignment="1">
      <alignment wrapText="1"/>
    </xf>
    <xf numFmtId="197" fontId="15" fillId="0" borderId="0" xfId="0" applyNumberFormat="1" applyFont="1" applyFill="1" applyBorder="1" applyAlignment="1">
      <alignment wrapText="1"/>
    </xf>
    <xf numFmtId="197" fontId="17" fillId="0" borderId="0" xfId="0" applyNumberFormat="1" applyFont="1" applyFill="1" applyBorder="1" applyAlignment="1" applyProtection="1">
      <alignment/>
      <protection locked="0"/>
    </xf>
    <xf numFmtId="197" fontId="10" fillId="0" borderId="0" xfId="0" applyNumberFormat="1" applyFont="1" applyFill="1" applyBorder="1" applyAlignment="1">
      <alignment wrapText="1"/>
    </xf>
    <xf numFmtId="197" fontId="25" fillId="0" borderId="0" xfId="0" applyNumberFormat="1" applyFont="1" applyFill="1" applyBorder="1" applyAlignment="1">
      <alignment wrapText="1"/>
    </xf>
    <xf numFmtId="197" fontId="13" fillId="0" borderId="0" xfId="0" applyNumberFormat="1" applyFont="1" applyFill="1" applyAlignment="1">
      <alignment horizontal="right"/>
    </xf>
    <xf numFmtId="197" fontId="9" fillId="0" borderId="0" xfId="0" applyNumberFormat="1" applyFont="1" applyFill="1" applyBorder="1" applyAlignment="1" applyProtection="1">
      <alignment/>
      <protection locked="0"/>
    </xf>
    <xf numFmtId="197" fontId="13" fillId="0" borderId="0" xfId="0" applyNumberFormat="1" applyFont="1" applyFill="1" applyAlignment="1">
      <alignment horizontal="right" wrapText="1"/>
    </xf>
    <xf numFmtId="197" fontId="3" fillId="0" borderId="0" xfId="0" applyNumberFormat="1" applyFont="1" applyFill="1" applyBorder="1" applyAlignment="1">
      <alignment horizontal="right" wrapText="1"/>
    </xf>
    <xf numFmtId="195" fontId="3" fillId="0" borderId="0" xfId="0" applyNumberFormat="1" applyFont="1" applyFill="1" applyAlignment="1">
      <alignment horizontal="right" wrapText="1"/>
    </xf>
    <xf numFmtId="199" fontId="13" fillId="0" borderId="0" xfId="0" applyNumberFormat="1" applyFont="1" applyFill="1" applyBorder="1" applyAlignment="1">
      <alignment wrapText="1"/>
    </xf>
    <xf numFmtId="198" fontId="36" fillId="0" borderId="0" xfId="0" applyNumberFormat="1" applyFont="1" applyFill="1" applyBorder="1" applyAlignment="1" applyProtection="1">
      <alignment/>
      <protection locked="0"/>
    </xf>
    <xf numFmtId="195" fontId="15" fillId="0" borderId="0" xfId="0" applyNumberFormat="1" applyFont="1" applyFill="1" applyAlignment="1">
      <alignment horizontal="right" wrapText="1"/>
    </xf>
    <xf numFmtId="0" fontId="37" fillId="0" borderId="0" xfId="0" applyFont="1" applyFill="1" applyAlignment="1">
      <alignment wrapText="1"/>
    </xf>
    <xf numFmtId="2" fontId="37" fillId="0" borderId="0" xfId="0" applyNumberFormat="1" applyFont="1" applyFill="1" applyAlignment="1">
      <alignment wrapText="1"/>
    </xf>
    <xf numFmtId="0" fontId="38" fillId="0" borderId="0" xfId="0" applyFont="1" applyFill="1" applyAlignment="1">
      <alignment wrapText="1"/>
    </xf>
    <xf numFmtId="197" fontId="37" fillId="0" borderId="0" xfId="0" applyNumberFormat="1" applyFont="1" applyFill="1" applyAlignment="1">
      <alignment wrapText="1"/>
    </xf>
    <xf numFmtId="197" fontId="37" fillId="0" borderId="0" xfId="0" applyNumberFormat="1" applyFont="1" applyFill="1" applyAlignment="1">
      <alignment/>
    </xf>
    <xf numFmtId="199" fontId="25" fillId="0" borderId="0" xfId="0" applyNumberFormat="1" applyFont="1" applyFill="1" applyBorder="1" applyAlignment="1">
      <alignment wrapText="1"/>
    </xf>
    <xf numFmtId="0" fontId="39" fillId="0" borderId="0" xfId="0" applyFont="1" applyFill="1" applyAlignment="1">
      <alignment/>
    </xf>
    <xf numFmtId="0" fontId="39" fillId="0" borderId="0" xfId="0" applyFont="1" applyFill="1" applyAlignment="1">
      <alignment/>
    </xf>
    <xf numFmtId="2" fontId="39" fillId="0" borderId="0" xfId="0" applyNumberFormat="1" applyFont="1" applyFill="1" applyAlignment="1">
      <alignment wrapText="1"/>
    </xf>
    <xf numFmtId="198" fontId="39" fillId="0" borderId="0" xfId="0" applyNumberFormat="1" applyFont="1" applyFill="1" applyAlignment="1">
      <alignment wrapText="1"/>
    </xf>
    <xf numFmtId="198" fontId="41" fillId="0" borderId="0" xfId="0" applyNumberFormat="1" applyFont="1" applyFill="1" applyAlignment="1">
      <alignment wrapText="1"/>
    </xf>
    <xf numFmtId="0" fontId="7" fillId="0" borderId="13" xfId="0" applyFont="1" applyFill="1" applyBorder="1" applyAlignment="1" applyProtection="1">
      <alignment horizontal="center"/>
      <protection locked="0"/>
    </xf>
    <xf numFmtId="196" fontId="3" fillId="0" borderId="0" xfId="0" applyNumberFormat="1" applyFont="1" applyFill="1" applyBorder="1" applyAlignment="1">
      <alignment wrapText="1"/>
    </xf>
    <xf numFmtId="196" fontId="15" fillId="0" borderId="0" xfId="0" applyNumberFormat="1" applyFont="1" applyFill="1" applyBorder="1" applyAlignment="1">
      <alignment wrapText="1"/>
    </xf>
    <xf numFmtId="196" fontId="17" fillId="0" borderId="0" xfId="0" applyNumberFormat="1" applyFont="1" applyFill="1" applyBorder="1" applyAlignment="1" applyProtection="1">
      <alignment/>
      <protection locked="0"/>
    </xf>
    <xf numFmtId="196" fontId="9" fillId="0" borderId="0" xfId="0" applyNumberFormat="1" applyFont="1" applyFill="1" applyBorder="1" applyAlignment="1" applyProtection="1">
      <alignment/>
      <protection locked="0"/>
    </xf>
    <xf numFmtId="196" fontId="13" fillId="0" borderId="0" xfId="0" applyNumberFormat="1" applyFont="1" applyFill="1" applyBorder="1" applyAlignment="1">
      <alignment wrapText="1"/>
    </xf>
    <xf numFmtId="196" fontId="8" fillId="0" borderId="0" xfId="0" applyNumberFormat="1" applyFont="1" applyFill="1" applyBorder="1" applyAlignment="1">
      <alignment wrapText="1"/>
    </xf>
    <xf numFmtId="196" fontId="25" fillId="0" borderId="0" xfId="0" applyNumberFormat="1" applyFont="1" applyFill="1" applyBorder="1" applyAlignment="1">
      <alignment wrapText="1"/>
    </xf>
    <xf numFmtId="196" fontId="13" fillId="0" borderId="0" xfId="0" applyNumberFormat="1" applyFont="1" applyFill="1" applyAlignment="1">
      <alignment horizontal="right" wrapText="1"/>
    </xf>
    <xf numFmtId="196" fontId="10" fillId="0" borderId="0" xfId="0" applyNumberFormat="1" applyFont="1" applyFill="1" applyBorder="1" applyAlignment="1">
      <alignment wrapText="1"/>
    </xf>
    <xf numFmtId="196" fontId="3" fillId="0" borderId="0" xfId="0" applyNumberFormat="1" applyFont="1" applyFill="1" applyBorder="1" applyAlignment="1">
      <alignment horizontal="right" wrapText="1"/>
    </xf>
    <xf numFmtId="196" fontId="35" fillId="0" borderId="0" xfId="0" applyNumberFormat="1" applyFont="1" applyFill="1" applyBorder="1" applyAlignment="1" applyProtection="1">
      <alignment/>
      <protection locked="0"/>
    </xf>
    <xf numFmtId="196" fontId="25" fillId="0" borderId="0" xfId="0" applyNumberFormat="1" applyFont="1" applyFill="1" applyBorder="1" applyAlignment="1">
      <alignment horizontal="right" wrapText="1"/>
    </xf>
    <xf numFmtId="196" fontId="14" fillId="0" borderId="0" xfId="0" applyNumberFormat="1" applyFont="1" applyFill="1" applyBorder="1" applyAlignment="1">
      <alignment wrapText="1"/>
    </xf>
    <xf numFmtId="196" fontId="0" fillId="0" borderId="0" xfId="0" applyNumberFormat="1" applyFont="1" applyFill="1" applyBorder="1" applyAlignment="1">
      <alignment wrapText="1"/>
    </xf>
    <xf numFmtId="196" fontId="13" fillId="0" borderId="0" xfId="0" applyNumberFormat="1" applyFont="1" applyFill="1" applyBorder="1" applyAlignment="1" applyProtection="1">
      <alignment/>
      <protection locked="0"/>
    </xf>
    <xf numFmtId="196" fontId="31" fillId="0" borderId="0" xfId="0" applyNumberFormat="1" applyFont="1" applyFill="1" applyBorder="1" applyAlignment="1">
      <alignment wrapText="1"/>
    </xf>
    <xf numFmtId="196" fontId="16" fillId="0" borderId="0" xfId="0" applyNumberFormat="1" applyFont="1" applyFill="1" applyBorder="1" applyAlignment="1">
      <alignment wrapText="1"/>
    </xf>
    <xf numFmtId="196" fontId="12" fillId="0" borderId="0" xfId="0" applyNumberFormat="1" applyFont="1" applyFill="1" applyBorder="1" applyAlignment="1">
      <alignment wrapText="1"/>
    </xf>
    <xf numFmtId="0" fontId="3" fillId="0" borderId="12" xfId="0" applyFont="1" applyFill="1" applyBorder="1" applyAlignment="1">
      <alignment horizontal="center"/>
    </xf>
    <xf numFmtId="196" fontId="15" fillId="0" borderId="0" xfId="0" applyNumberFormat="1" applyFont="1" applyFill="1" applyBorder="1" applyAlignment="1">
      <alignment horizontal="right" wrapText="1"/>
    </xf>
    <xf numFmtId="196" fontId="15" fillId="0" borderId="0" xfId="0" applyNumberFormat="1" applyFont="1" applyFill="1" applyBorder="1" applyAlignment="1">
      <alignment/>
    </xf>
    <xf numFmtId="188" fontId="15" fillId="0" borderId="0" xfId="0" applyNumberFormat="1" applyFont="1" applyFill="1" applyBorder="1" applyAlignment="1">
      <alignment horizontal="right"/>
    </xf>
    <xf numFmtId="0" fontId="13" fillId="0" borderId="0" xfId="0" applyFont="1" applyFill="1" applyAlignment="1">
      <alignment wrapText="1"/>
    </xf>
    <xf numFmtId="196" fontId="73" fillId="0" borderId="0" xfId="0" applyNumberFormat="1" applyFont="1" applyFill="1" applyBorder="1" applyAlignment="1">
      <alignment wrapText="1"/>
    </xf>
    <xf numFmtId="0" fontId="15" fillId="0" borderId="0" xfId="0" applyFont="1" applyAlignment="1">
      <alignment/>
    </xf>
    <xf numFmtId="0" fontId="3" fillId="0" borderId="0" xfId="0" applyFont="1" applyAlignment="1">
      <alignment/>
    </xf>
    <xf numFmtId="196" fontId="13" fillId="25" borderId="0" xfId="0" applyNumberFormat="1" applyFont="1" applyFill="1" applyBorder="1" applyAlignment="1">
      <alignment wrapText="1"/>
    </xf>
    <xf numFmtId="196" fontId="15" fillId="26" borderId="0" xfId="0" applyNumberFormat="1" applyFont="1" applyFill="1" applyBorder="1" applyAlignment="1">
      <alignment wrapText="1"/>
    </xf>
    <xf numFmtId="196" fontId="3" fillId="26" borderId="0" xfId="0" applyNumberFormat="1" applyFont="1" applyFill="1" applyBorder="1" applyAlignment="1">
      <alignment wrapText="1"/>
    </xf>
    <xf numFmtId="196" fontId="13" fillId="26" borderId="0" xfId="0" applyNumberFormat="1" applyFont="1" applyFill="1" applyBorder="1" applyAlignment="1">
      <alignment wrapText="1"/>
    </xf>
    <xf numFmtId="0" fontId="3" fillId="26" borderId="0" xfId="0" applyFont="1" applyFill="1" applyBorder="1" applyAlignment="1">
      <alignment/>
    </xf>
    <xf numFmtId="197" fontId="3" fillId="26" borderId="0" xfId="0" applyNumberFormat="1" applyFont="1" applyFill="1" applyBorder="1" applyAlignment="1">
      <alignment wrapText="1"/>
    </xf>
    <xf numFmtId="49" fontId="3" fillId="26" borderId="0" xfId="0" applyNumberFormat="1" applyFont="1" applyFill="1" applyBorder="1" applyAlignment="1">
      <alignment horizontal="center"/>
    </xf>
    <xf numFmtId="197" fontId="15" fillId="26" borderId="0" xfId="0" applyNumberFormat="1" applyFont="1" applyFill="1" applyBorder="1" applyAlignment="1">
      <alignment wrapText="1"/>
    </xf>
    <xf numFmtId="0" fontId="15" fillId="26" borderId="0" xfId="0" applyFont="1" applyFill="1" applyBorder="1" applyAlignment="1">
      <alignment/>
    </xf>
    <xf numFmtId="0" fontId="13" fillId="0" borderId="0" xfId="0" applyFont="1" applyAlignment="1">
      <alignment wrapText="1"/>
    </xf>
    <xf numFmtId="196" fontId="3" fillId="27" borderId="0" xfId="0" applyNumberFormat="1" applyFont="1" applyFill="1" applyBorder="1" applyAlignment="1">
      <alignment wrapText="1"/>
    </xf>
    <xf numFmtId="196" fontId="3" fillId="27" borderId="0" xfId="0" applyNumberFormat="1" applyFont="1" applyFill="1" applyBorder="1" applyAlignment="1">
      <alignment horizontal="right" wrapText="1"/>
    </xf>
    <xf numFmtId="196" fontId="3" fillId="27" borderId="0" xfId="0" applyNumberFormat="1" applyFont="1" applyFill="1" applyAlignment="1">
      <alignment/>
    </xf>
    <xf numFmtId="0" fontId="74" fillId="0" borderId="0" xfId="0" applyFont="1" applyAlignment="1">
      <alignment wrapText="1"/>
    </xf>
    <xf numFmtId="0" fontId="75" fillId="0" borderId="0" xfId="0" applyFont="1" applyAlignment="1">
      <alignment wrapText="1"/>
    </xf>
    <xf numFmtId="196" fontId="3" fillId="0" borderId="0" xfId="0" applyNumberFormat="1" applyFont="1" applyFill="1" applyAlignment="1">
      <alignment horizontal="right" wrapText="1"/>
    </xf>
    <xf numFmtId="196" fontId="4" fillId="0" borderId="0" xfId="0" applyNumberFormat="1" applyFont="1" applyFill="1" applyBorder="1" applyAlignment="1">
      <alignment wrapText="1"/>
    </xf>
    <xf numFmtId="196" fontId="24" fillId="0" borderId="0" xfId="0" applyNumberFormat="1" applyFont="1" applyFill="1" applyBorder="1" applyAlignment="1">
      <alignment wrapText="1"/>
    </xf>
    <xf numFmtId="196" fontId="13" fillId="0" borderId="0" xfId="0" applyNumberFormat="1" applyFont="1" applyFill="1" applyBorder="1" applyAlignment="1">
      <alignment horizontal="right" wrapText="1"/>
    </xf>
    <xf numFmtId="196" fontId="76" fillId="0" borderId="0" xfId="0" applyNumberFormat="1" applyFont="1" applyFill="1" applyBorder="1" applyAlignment="1" applyProtection="1">
      <alignment/>
      <protection locked="0"/>
    </xf>
    <xf numFmtId="196" fontId="27" fillId="0" borderId="0" xfId="0" applyNumberFormat="1" applyFont="1" applyFill="1" applyAlignment="1">
      <alignment horizontal="center"/>
    </xf>
    <xf numFmtId="198" fontId="8" fillId="0" borderId="0" xfId="0" applyNumberFormat="1" applyFont="1" applyFill="1" applyAlignment="1">
      <alignment wrapText="1"/>
    </xf>
    <xf numFmtId="193" fontId="15" fillId="0" borderId="0" xfId="0" applyNumberFormat="1" applyFont="1" applyFill="1" applyAlignment="1">
      <alignment wrapText="1"/>
    </xf>
    <xf numFmtId="188" fontId="3" fillId="0" borderId="0" xfId="0" applyNumberFormat="1" applyFont="1" applyFill="1" applyAlignment="1">
      <alignment wrapText="1"/>
    </xf>
    <xf numFmtId="0" fontId="23"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5"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2" fontId="23" fillId="0" borderId="18" xfId="0" applyNumberFormat="1" applyFont="1" applyFill="1" applyBorder="1" applyAlignment="1" applyProtection="1">
      <alignment horizontal="center" vertical="center" wrapText="1"/>
      <protection locked="0"/>
    </xf>
    <xf numFmtId="2" fontId="23" fillId="0" borderId="10" xfId="0" applyNumberFormat="1" applyFont="1" applyFill="1" applyBorder="1" applyAlignment="1" applyProtection="1">
      <alignment horizontal="center" vertical="center" wrapText="1"/>
      <protection locked="0"/>
    </xf>
    <xf numFmtId="2" fontId="23" fillId="0" borderId="11" xfId="0" applyNumberFormat="1" applyFont="1" applyFill="1" applyBorder="1" applyAlignment="1" applyProtection="1">
      <alignment horizontal="center" vertical="center" wrapText="1"/>
      <protection locked="0"/>
    </xf>
    <xf numFmtId="198" fontId="39" fillId="0" borderId="0" xfId="0" applyNumberFormat="1" applyFont="1" applyFill="1" applyAlignment="1">
      <alignment horizontal="center" wrapText="1"/>
    </xf>
    <xf numFmtId="49" fontId="40" fillId="0" borderId="0" xfId="0" applyNumberFormat="1" applyFont="1" applyFill="1" applyAlignment="1">
      <alignment horizontal="center" wrapText="1"/>
    </xf>
    <xf numFmtId="49" fontId="6" fillId="0" borderId="0" xfId="0" applyNumberFormat="1" applyFont="1" applyFill="1" applyAlignment="1">
      <alignment horizontal="center" wrapText="1"/>
    </xf>
    <xf numFmtId="49" fontId="3" fillId="0" borderId="0" xfId="0" applyNumberFormat="1" applyFont="1" applyFill="1" applyAlignment="1">
      <alignment horizontal="center" wrapText="1"/>
    </xf>
    <xf numFmtId="0" fontId="3" fillId="0" borderId="0" xfId="0" applyFont="1" applyFill="1" applyBorder="1" applyAlignment="1">
      <alignment horizont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49" fontId="15" fillId="0" borderId="22" xfId="0" applyNumberFormat="1" applyFont="1" applyFill="1" applyBorder="1" applyAlignment="1" applyProtection="1">
      <alignment horizontal="center" vertical="center" wrapText="1"/>
      <protection locked="0"/>
    </xf>
    <xf numFmtId="49" fontId="15" fillId="0" borderId="23" xfId="0" applyNumberFormat="1" applyFont="1" applyFill="1" applyBorder="1" applyAlignment="1" applyProtection="1">
      <alignment horizontal="center" vertical="center" wrapText="1"/>
      <protection locked="0"/>
    </xf>
    <xf numFmtId="49" fontId="15" fillId="0" borderId="18" xfId="0" applyNumberFormat="1"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25" xfId="0" applyFont="1" applyFill="1" applyBorder="1" applyAlignment="1">
      <alignment horizontal="center" vertical="center" wrapText="1"/>
    </xf>
    <xf numFmtId="49" fontId="15" fillId="0" borderId="18" xfId="0" applyNumberFormat="1" applyFont="1" applyFill="1" applyBorder="1" applyAlignment="1" applyProtection="1">
      <alignment horizontal="center" vertical="center" wrapText="1"/>
      <protection locked="0"/>
    </xf>
    <xf numFmtId="49" fontId="15" fillId="0" borderId="11" xfId="0" applyNumberFormat="1" applyFont="1" applyFill="1" applyBorder="1" applyAlignment="1" applyProtection="1">
      <alignment horizontal="center" vertical="center" wrapText="1"/>
      <protection locked="0"/>
    </xf>
    <xf numFmtId="49" fontId="15" fillId="0" borderId="26" xfId="0" applyNumberFormat="1" applyFont="1" applyFill="1" applyBorder="1" applyAlignment="1">
      <alignment horizontal="center" vertical="center" wrapText="1"/>
    </xf>
    <xf numFmtId="49" fontId="15" fillId="0" borderId="0" xfId="0" applyNumberFormat="1" applyFont="1" applyFill="1" applyBorder="1" applyAlignment="1">
      <alignment horizontal="center" vertical="center" wrapText="1"/>
    </xf>
    <xf numFmtId="49" fontId="15" fillId="0" borderId="27" xfId="0" applyNumberFormat="1" applyFont="1" applyFill="1" applyBorder="1" applyAlignment="1">
      <alignment horizontal="center" vertical="center" wrapText="1"/>
    </xf>
    <xf numFmtId="0" fontId="39" fillId="0" borderId="0" xfId="0" applyFont="1" applyFill="1" applyAlignment="1">
      <alignment horizontal="left"/>
    </xf>
    <xf numFmtId="2" fontId="39" fillId="0" borderId="0" xfId="0" applyNumberFormat="1" applyFont="1" applyFill="1" applyAlignment="1">
      <alignment horizontal="center" wrapText="1"/>
    </xf>
    <xf numFmtId="0" fontId="39" fillId="0" borderId="0" xfId="0" applyFont="1" applyFill="1" applyAlignment="1">
      <alignment horizontal="left" wrapText="1"/>
    </xf>
    <xf numFmtId="49" fontId="22" fillId="0" borderId="28" xfId="0" applyNumberFormat="1" applyFont="1" applyFill="1" applyBorder="1" applyAlignment="1" applyProtection="1">
      <alignment horizontal="center" vertical="center" wrapText="1"/>
      <protection locked="0"/>
    </xf>
    <xf numFmtId="49" fontId="22" fillId="0" borderId="29" xfId="0" applyNumberFormat="1" applyFont="1" applyFill="1" applyBorder="1" applyAlignment="1" applyProtection="1">
      <alignment horizontal="center" vertical="center" wrapText="1"/>
      <protection locked="0"/>
    </xf>
    <xf numFmtId="49" fontId="22" fillId="0" borderId="30" xfId="0" applyNumberFormat="1" applyFont="1" applyFill="1" applyBorder="1" applyAlignment="1" applyProtection="1">
      <alignment horizontal="center" vertical="center" wrapText="1"/>
      <protection locked="0"/>
    </xf>
    <xf numFmtId="49" fontId="15" fillId="0" borderId="0" xfId="0" applyNumberFormat="1" applyFont="1" applyFill="1" applyBorder="1" applyAlignment="1" applyProtection="1">
      <alignment horizontal="center" vertical="center" wrapText="1"/>
      <protection locked="0"/>
    </xf>
    <xf numFmtId="49" fontId="15" fillId="0" borderId="27" xfId="0" applyNumberFormat="1" applyFont="1" applyFill="1" applyBorder="1" applyAlignment="1" applyProtection="1">
      <alignment horizontal="center" vertical="center" wrapText="1"/>
      <protection locked="0"/>
    </xf>
    <xf numFmtId="49" fontId="15" fillId="0" borderId="15" xfId="0" applyNumberFormat="1" applyFont="1" applyFill="1" applyBorder="1" applyAlignment="1" applyProtection="1">
      <alignment horizontal="center" vertical="center" wrapText="1"/>
      <protection locked="0"/>
    </xf>
    <xf numFmtId="49" fontId="15" fillId="0" borderId="10" xfId="0" applyNumberFormat="1" applyFont="1" applyFill="1" applyBorder="1" applyAlignment="1" applyProtection="1">
      <alignment horizontal="center" vertical="center" wrapText="1"/>
      <protection locked="0"/>
    </xf>
    <xf numFmtId="49" fontId="15" fillId="0" borderId="17" xfId="0" applyNumberFormat="1" applyFont="1" applyFill="1" applyBorder="1" applyAlignment="1" applyProtection="1">
      <alignment horizontal="center" vertical="center" wrapText="1"/>
      <protection locked="0"/>
    </xf>
    <xf numFmtId="0" fontId="15" fillId="0" borderId="31"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449"/>
  <sheetViews>
    <sheetView tabSelected="1" view="pageBreakPreview" zoomScale="70" zoomScaleNormal="50" zoomScaleSheetLayoutView="70" zoomScalePageLayoutView="0" workbookViewId="0" topLeftCell="F1">
      <selection activeCell="J2" sqref="J2"/>
    </sheetView>
  </sheetViews>
  <sheetFormatPr defaultColWidth="9.00390625" defaultRowHeight="12.75"/>
  <cols>
    <col min="1" max="1" width="4.00390625" style="2" hidden="1" customWidth="1"/>
    <col min="2" max="2" width="8.25390625" style="2" hidden="1" customWidth="1"/>
    <col min="3" max="3" width="16.00390625" style="24" customWidth="1"/>
    <col min="4" max="4" width="11.375" style="24" customWidth="1"/>
    <col min="5" max="5" width="13.25390625" style="24" customWidth="1"/>
    <col min="6" max="6" width="66.625" style="1" customWidth="1"/>
    <col min="7" max="7" width="21.75390625" style="1" customWidth="1"/>
    <col min="8" max="8" width="18.875" style="73" customWidth="1"/>
    <col min="9" max="9" width="17.375" style="73" customWidth="1"/>
    <col min="10" max="10" width="19.375" style="1" customWidth="1"/>
    <col min="11" max="11" width="16.75390625" style="14" hidden="1" customWidth="1"/>
    <col min="12" max="12" width="18.75390625" style="1" customWidth="1"/>
    <col min="13" max="13" width="18.125" style="1" customWidth="1"/>
    <col min="14" max="14" width="23.75390625" style="1" hidden="1" customWidth="1"/>
    <col min="15" max="15" width="18.00390625" style="1" customWidth="1"/>
    <col min="16" max="16" width="21.00390625" style="21" customWidth="1"/>
    <col min="17" max="17" width="19.875" style="2" customWidth="1"/>
    <col min="18" max="18" width="19.75390625" style="2" bestFit="1" customWidth="1"/>
    <col min="19" max="19" width="18.125" style="2" customWidth="1"/>
    <col min="20" max="16384" width="9.125" style="2" customWidth="1"/>
  </cols>
  <sheetData>
    <row r="1" spans="3:16" s="7" customFormat="1" ht="33.75" customHeight="1">
      <c r="C1" s="24"/>
      <c r="D1" s="24"/>
      <c r="E1" s="24"/>
      <c r="F1" s="126"/>
      <c r="G1" s="126"/>
      <c r="H1" s="127"/>
      <c r="I1" s="127"/>
      <c r="J1" s="126"/>
      <c r="K1" s="128"/>
      <c r="L1" s="219"/>
      <c r="M1" s="219"/>
      <c r="N1" s="217" t="s">
        <v>592</v>
      </c>
      <c r="O1" s="217"/>
      <c r="P1" s="217"/>
    </row>
    <row r="2" spans="3:16" s="7" customFormat="1" ht="27.75" customHeight="1">
      <c r="C2" s="24"/>
      <c r="D2" s="24"/>
      <c r="E2" s="24"/>
      <c r="F2" s="126"/>
      <c r="G2" s="126"/>
      <c r="H2" s="127"/>
      <c r="I2" s="127"/>
      <c r="J2" s="126"/>
      <c r="K2" s="128"/>
      <c r="L2" s="132"/>
      <c r="M2" s="132"/>
      <c r="N2" s="132" t="s">
        <v>22</v>
      </c>
      <c r="O2" s="132" t="s">
        <v>22</v>
      </c>
      <c r="P2" s="130"/>
    </row>
    <row r="3" spans="3:16" s="7" customFormat="1" ht="32.25" customHeight="1">
      <c r="C3" s="24"/>
      <c r="D3" s="24"/>
      <c r="E3" s="24"/>
      <c r="F3" s="126"/>
      <c r="G3" s="126"/>
      <c r="H3" s="127"/>
      <c r="I3" s="127"/>
      <c r="J3" s="126"/>
      <c r="K3" s="128"/>
      <c r="L3" s="132"/>
      <c r="M3" s="132"/>
      <c r="N3" s="132" t="s">
        <v>560</v>
      </c>
      <c r="O3" s="132" t="s">
        <v>629</v>
      </c>
      <c r="P3" s="129"/>
    </row>
    <row r="4" spans="3:16" s="7" customFormat="1" ht="48.75" customHeight="1">
      <c r="C4" s="24"/>
      <c r="D4" s="24"/>
      <c r="E4" s="24"/>
      <c r="F4" s="198" t="s">
        <v>623</v>
      </c>
      <c r="G4" s="198"/>
      <c r="H4" s="198"/>
      <c r="I4" s="198"/>
      <c r="J4" s="198"/>
      <c r="K4" s="198"/>
      <c r="L4" s="198"/>
      <c r="M4" s="198"/>
      <c r="N4" s="198"/>
      <c r="O4" s="198"/>
      <c r="P4" s="198"/>
    </row>
    <row r="5" spans="3:16" s="7" customFormat="1" ht="24" customHeight="1">
      <c r="C5" s="24"/>
      <c r="D5" s="24"/>
      <c r="E5" s="24"/>
      <c r="F5" s="199"/>
      <c r="G5" s="199"/>
      <c r="H5" s="199"/>
      <c r="I5" s="199"/>
      <c r="J5" s="199"/>
      <c r="K5" s="200"/>
      <c r="L5" s="199"/>
      <c r="M5" s="199"/>
      <c r="N5" s="199"/>
      <c r="O5" s="199"/>
      <c r="P5" s="199"/>
    </row>
    <row r="6" spans="15:16" ht="19.5" thickBot="1">
      <c r="O6" s="201" t="s">
        <v>20</v>
      </c>
      <c r="P6" s="201"/>
    </row>
    <row r="7" spans="3:19" s="8" customFormat="1" ht="38.25" customHeight="1" thickBot="1">
      <c r="C7" s="207" t="s">
        <v>3</v>
      </c>
      <c r="D7" s="214" t="s">
        <v>56</v>
      </c>
      <c r="E7" s="207" t="s">
        <v>57</v>
      </c>
      <c r="F7" s="207" t="s">
        <v>4</v>
      </c>
      <c r="G7" s="210" t="s">
        <v>593</v>
      </c>
      <c r="H7" s="211"/>
      <c r="I7" s="228"/>
      <c r="J7" s="210" t="s">
        <v>21</v>
      </c>
      <c r="K7" s="211"/>
      <c r="L7" s="211"/>
      <c r="M7" s="211"/>
      <c r="N7" s="211"/>
      <c r="O7" s="211"/>
      <c r="P7" s="202" t="s">
        <v>594</v>
      </c>
      <c r="Q7" s="188" t="s">
        <v>595</v>
      </c>
      <c r="R7" s="191" t="s">
        <v>597</v>
      </c>
      <c r="S7" s="188" t="s">
        <v>596</v>
      </c>
    </row>
    <row r="8" spans="3:19" s="8" customFormat="1" ht="35.25" customHeight="1" thickBot="1">
      <c r="C8" s="208"/>
      <c r="D8" s="215"/>
      <c r="E8" s="208"/>
      <c r="F8" s="208"/>
      <c r="G8" s="220" t="s">
        <v>594</v>
      </c>
      <c r="H8" s="194" t="s">
        <v>595</v>
      </c>
      <c r="I8" s="194" t="s">
        <v>596</v>
      </c>
      <c r="J8" s="220" t="s">
        <v>594</v>
      </c>
      <c r="K8" s="220" t="s">
        <v>1</v>
      </c>
      <c r="L8" s="205" t="s">
        <v>595</v>
      </c>
      <c r="M8" s="206"/>
      <c r="N8" s="225" t="s">
        <v>2</v>
      </c>
      <c r="O8" s="194" t="s">
        <v>596</v>
      </c>
      <c r="P8" s="203"/>
      <c r="Q8" s="189"/>
      <c r="R8" s="192"/>
      <c r="S8" s="189"/>
    </row>
    <row r="9" spans="3:19" s="8" customFormat="1" ht="32.25" customHeight="1">
      <c r="C9" s="208"/>
      <c r="D9" s="215"/>
      <c r="E9" s="208"/>
      <c r="F9" s="53"/>
      <c r="G9" s="221"/>
      <c r="H9" s="195"/>
      <c r="I9" s="195"/>
      <c r="J9" s="221"/>
      <c r="K9" s="221"/>
      <c r="L9" s="212" t="s">
        <v>18</v>
      </c>
      <c r="M9" s="223" t="s">
        <v>598</v>
      </c>
      <c r="N9" s="226"/>
      <c r="O9" s="195"/>
      <c r="P9" s="203"/>
      <c r="Q9" s="189"/>
      <c r="R9" s="192"/>
      <c r="S9" s="189"/>
    </row>
    <row r="10" spans="3:19" s="8" customFormat="1" ht="83.25" customHeight="1" thickBot="1">
      <c r="C10" s="209"/>
      <c r="D10" s="216"/>
      <c r="E10" s="209"/>
      <c r="F10" s="54" t="s">
        <v>7</v>
      </c>
      <c r="G10" s="222"/>
      <c r="H10" s="196"/>
      <c r="I10" s="196"/>
      <c r="J10" s="222"/>
      <c r="K10" s="222"/>
      <c r="L10" s="213"/>
      <c r="M10" s="224"/>
      <c r="N10" s="227"/>
      <c r="O10" s="196"/>
      <c r="P10" s="204"/>
      <c r="Q10" s="190"/>
      <c r="R10" s="193"/>
      <c r="S10" s="190"/>
    </row>
    <row r="11" spans="3:19" s="8" customFormat="1" ht="17.25" customHeight="1" thickBot="1">
      <c r="C11" s="55">
        <v>1</v>
      </c>
      <c r="D11" s="156">
        <v>2</v>
      </c>
      <c r="E11" s="156">
        <v>3</v>
      </c>
      <c r="F11" s="56">
        <v>4</v>
      </c>
      <c r="G11" s="56">
        <v>5</v>
      </c>
      <c r="H11" s="57">
        <v>6</v>
      </c>
      <c r="I11" s="137">
        <v>7</v>
      </c>
      <c r="J11" s="56">
        <v>8</v>
      </c>
      <c r="K11" s="57">
        <v>11</v>
      </c>
      <c r="L11" s="56">
        <v>9</v>
      </c>
      <c r="M11" s="57">
        <v>10</v>
      </c>
      <c r="N11" s="56">
        <v>14</v>
      </c>
      <c r="O11" s="57">
        <v>11</v>
      </c>
      <c r="P11" s="58">
        <v>12</v>
      </c>
      <c r="Q11" s="55">
        <v>13</v>
      </c>
      <c r="R11" s="55">
        <v>14</v>
      </c>
      <c r="S11" s="55">
        <v>15</v>
      </c>
    </row>
    <row r="12" spans="3:17" s="6" customFormat="1" ht="42.75" customHeight="1">
      <c r="C12" s="28" t="s">
        <v>482</v>
      </c>
      <c r="D12" s="28"/>
      <c r="E12" s="28"/>
      <c r="F12" s="29" t="s">
        <v>47</v>
      </c>
      <c r="G12" s="12"/>
      <c r="H12" s="138"/>
      <c r="I12" s="74"/>
      <c r="J12" s="12"/>
      <c r="K12" s="12"/>
      <c r="L12" s="12"/>
      <c r="M12" s="12"/>
      <c r="N12" s="112"/>
      <c r="O12" s="112"/>
      <c r="P12" s="12"/>
      <c r="Q12" s="19"/>
    </row>
    <row r="13" spans="3:17" s="6" customFormat="1" ht="56.25" customHeight="1">
      <c r="C13" s="85" t="s">
        <v>483</v>
      </c>
      <c r="D13" s="28"/>
      <c r="E13" s="28"/>
      <c r="F13" s="29" t="s">
        <v>46</v>
      </c>
      <c r="G13" s="12"/>
      <c r="H13" s="138"/>
      <c r="I13" s="74"/>
      <c r="J13" s="12"/>
      <c r="K13" s="12"/>
      <c r="L13" s="12"/>
      <c r="M13" s="12"/>
      <c r="N13" s="112"/>
      <c r="O13" s="112"/>
      <c r="P13" s="12"/>
      <c r="Q13" s="19"/>
    </row>
    <row r="14" spans="3:19" s="46" customFormat="1" ht="35.25" customHeight="1">
      <c r="C14" s="28"/>
      <c r="D14" s="28"/>
      <c r="E14" s="28"/>
      <c r="F14" s="29" t="s">
        <v>351</v>
      </c>
      <c r="G14" s="139">
        <f>G15+G17</f>
        <v>17253.100000000002</v>
      </c>
      <c r="H14" s="139">
        <f>H15+H17</f>
        <v>17245.5</v>
      </c>
      <c r="I14" s="139">
        <f>H14/G14*100</f>
        <v>99.95594994522722</v>
      </c>
      <c r="J14" s="139">
        <f>J15+J17</f>
        <v>78</v>
      </c>
      <c r="K14" s="139">
        <f>K15+K17</f>
        <v>14.39</v>
      </c>
      <c r="L14" s="139">
        <f>L15+L17</f>
        <v>47.1</v>
      </c>
      <c r="M14" s="139">
        <f>M15+M17</f>
        <v>44</v>
      </c>
      <c r="N14" s="60">
        <f>N15+N17</f>
        <v>25</v>
      </c>
      <c r="O14" s="157">
        <f>L14/J14*100</f>
        <v>60.38461538461538</v>
      </c>
      <c r="P14" s="139">
        <f>G14+J14</f>
        <v>17331.100000000002</v>
      </c>
      <c r="Q14" s="158">
        <f>H14+L14</f>
        <v>17292.6</v>
      </c>
      <c r="R14" s="158">
        <f>Q14-P14</f>
        <v>-38.50000000000364</v>
      </c>
      <c r="S14" s="159">
        <f>Q14/P14*100</f>
        <v>99.77785599298369</v>
      </c>
    </row>
    <row r="15" spans="1:19" s="15" customFormat="1" ht="108" customHeight="1">
      <c r="A15" s="15">
        <v>1</v>
      </c>
      <c r="B15" s="15">
        <v>1</v>
      </c>
      <c r="C15" s="30" t="s">
        <v>484</v>
      </c>
      <c r="D15" s="30" t="s">
        <v>161</v>
      </c>
      <c r="E15" s="30" t="s">
        <v>60</v>
      </c>
      <c r="F15" s="59" t="s">
        <v>160</v>
      </c>
      <c r="G15" s="138">
        <f>SUM(G16)</f>
        <v>17191.4</v>
      </c>
      <c r="H15" s="138">
        <f aca="true" t="shared" si="0" ref="H15:N15">SUM(H16)</f>
        <v>17184</v>
      </c>
      <c r="I15" s="138">
        <f aca="true" t="shared" si="1" ref="I15:I83">H15/G15*100</f>
        <v>99.95695522179695</v>
      </c>
      <c r="J15" s="138">
        <f t="shared" si="0"/>
        <v>78</v>
      </c>
      <c r="K15" s="138">
        <f t="shared" si="0"/>
        <v>14.39</v>
      </c>
      <c r="L15" s="138">
        <f t="shared" si="0"/>
        <v>47.1</v>
      </c>
      <c r="M15" s="138">
        <f t="shared" si="0"/>
        <v>44</v>
      </c>
      <c r="N15" s="12">
        <f t="shared" si="0"/>
        <v>25</v>
      </c>
      <c r="O15" s="147">
        <f>L15/J15*100</f>
        <v>60.38461538461538</v>
      </c>
      <c r="P15" s="139">
        <f aca="true" t="shared" si="2" ref="P15:P83">G15+J15</f>
        <v>17269.4</v>
      </c>
      <c r="Q15" s="158">
        <f aca="true" t="shared" si="3" ref="Q15:Q83">H15+L15</f>
        <v>17231.1</v>
      </c>
      <c r="R15" s="158">
        <f aca="true" t="shared" si="4" ref="R15:R83">Q15-P15</f>
        <v>-38.30000000000291</v>
      </c>
      <c r="S15" s="159">
        <f aca="true" t="shared" si="5" ref="S15:S83">Q15/P15*100</f>
        <v>99.77822043614715</v>
      </c>
    </row>
    <row r="16" spans="3:19" s="37" customFormat="1" ht="48" customHeight="1">
      <c r="C16" s="33"/>
      <c r="D16" s="33"/>
      <c r="E16" s="33"/>
      <c r="F16" s="88" t="s">
        <v>162</v>
      </c>
      <c r="G16" s="140">
        <v>17191.4</v>
      </c>
      <c r="H16" s="140">
        <v>17184</v>
      </c>
      <c r="I16" s="138">
        <f t="shared" si="1"/>
        <v>99.95695522179695</v>
      </c>
      <c r="J16" s="142">
        <f>34+44</f>
        <v>78</v>
      </c>
      <c r="K16" s="140">
        <v>14.39</v>
      </c>
      <c r="L16" s="140">
        <f>3.1+44</f>
        <v>47.1</v>
      </c>
      <c r="M16" s="140">
        <v>44</v>
      </c>
      <c r="N16" s="115">
        <v>25</v>
      </c>
      <c r="O16" s="147">
        <f aca="true" t="shared" si="6" ref="O16:O75">L16/J16*100</f>
        <v>60.38461538461538</v>
      </c>
      <c r="P16" s="139">
        <f t="shared" si="2"/>
        <v>17269.4</v>
      </c>
      <c r="Q16" s="158">
        <f t="shared" si="3"/>
        <v>17231.1</v>
      </c>
      <c r="R16" s="158">
        <f t="shared" si="4"/>
        <v>-38.30000000000291</v>
      </c>
      <c r="S16" s="159">
        <f t="shared" si="5"/>
        <v>99.77822043614715</v>
      </c>
    </row>
    <row r="17" spans="3:19" s="37" customFormat="1" ht="43.5" customHeight="1">
      <c r="C17" s="30" t="s">
        <v>507</v>
      </c>
      <c r="D17" s="30" t="s">
        <v>59</v>
      </c>
      <c r="E17" s="30" t="s">
        <v>72</v>
      </c>
      <c r="F17" s="59" t="s">
        <v>508</v>
      </c>
      <c r="G17" s="141">
        <f>SUM(G18:G19)</f>
        <v>61.7</v>
      </c>
      <c r="H17" s="140">
        <f aca="true" t="shared" si="7" ref="H17:N17">SUM(H18:H19)</f>
        <v>61.5</v>
      </c>
      <c r="I17" s="138">
        <f t="shared" si="1"/>
        <v>99.67585089141005</v>
      </c>
      <c r="J17" s="138">
        <f>K17+N17</f>
        <v>0</v>
      </c>
      <c r="K17" s="140">
        <f t="shared" si="7"/>
        <v>0</v>
      </c>
      <c r="L17" s="140">
        <f t="shared" si="7"/>
        <v>0</v>
      </c>
      <c r="M17" s="140">
        <f t="shared" si="7"/>
        <v>0</v>
      </c>
      <c r="N17" s="49">
        <f t="shared" si="7"/>
        <v>0</v>
      </c>
      <c r="O17" s="147"/>
      <c r="P17" s="139">
        <f t="shared" si="2"/>
        <v>61.7</v>
      </c>
      <c r="Q17" s="158">
        <f t="shared" si="3"/>
        <v>61.5</v>
      </c>
      <c r="R17" s="158">
        <f t="shared" si="4"/>
        <v>-0.20000000000000284</v>
      </c>
      <c r="S17" s="159">
        <f t="shared" si="5"/>
        <v>99.67585089141005</v>
      </c>
    </row>
    <row r="18" spans="3:19" s="37" customFormat="1" ht="69.75" customHeight="1">
      <c r="C18" s="33"/>
      <c r="D18" s="33"/>
      <c r="E18" s="33"/>
      <c r="F18" s="42" t="s">
        <v>163</v>
      </c>
      <c r="G18" s="138">
        <v>15.7</v>
      </c>
      <c r="H18" s="142">
        <v>15.7</v>
      </c>
      <c r="I18" s="138">
        <f t="shared" si="1"/>
        <v>100</v>
      </c>
      <c r="J18" s="142">
        <f>K18+N18</f>
        <v>0</v>
      </c>
      <c r="K18" s="150"/>
      <c r="L18" s="142"/>
      <c r="M18" s="142"/>
      <c r="N18" s="113"/>
      <c r="O18" s="147"/>
      <c r="P18" s="139">
        <f t="shared" si="2"/>
        <v>15.7</v>
      </c>
      <c r="Q18" s="158">
        <f t="shared" si="3"/>
        <v>15.7</v>
      </c>
      <c r="R18" s="158">
        <f t="shared" si="4"/>
        <v>0</v>
      </c>
      <c r="S18" s="159">
        <f t="shared" si="5"/>
        <v>100</v>
      </c>
    </row>
    <row r="19" spans="3:19" s="37" customFormat="1" ht="30" customHeight="1">
      <c r="C19" s="33"/>
      <c r="D19" s="33"/>
      <c r="E19" s="33"/>
      <c r="F19" s="42" t="s">
        <v>58</v>
      </c>
      <c r="G19" s="138">
        <v>46</v>
      </c>
      <c r="H19" s="142">
        <v>45.8</v>
      </c>
      <c r="I19" s="138">
        <f t="shared" si="1"/>
        <v>99.56521739130434</v>
      </c>
      <c r="J19" s="142">
        <f>K19+N19</f>
        <v>0</v>
      </c>
      <c r="K19" s="150"/>
      <c r="L19" s="142"/>
      <c r="M19" s="142"/>
      <c r="N19" s="113"/>
      <c r="O19" s="147"/>
      <c r="P19" s="139">
        <f t="shared" si="2"/>
        <v>46</v>
      </c>
      <c r="Q19" s="158">
        <f t="shared" si="3"/>
        <v>45.8</v>
      </c>
      <c r="R19" s="158">
        <f t="shared" si="4"/>
        <v>-0.20000000000000284</v>
      </c>
      <c r="S19" s="159">
        <f t="shared" si="5"/>
        <v>99.56521739130434</v>
      </c>
    </row>
    <row r="20" spans="3:19" s="46" customFormat="1" ht="38.25" customHeight="1">
      <c r="C20" s="28"/>
      <c r="D20" s="28"/>
      <c r="E20" s="28"/>
      <c r="F20" s="29" t="s">
        <v>379</v>
      </c>
      <c r="G20" s="139">
        <f>G21+G25+G23</f>
        <v>41.2</v>
      </c>
      <c r="H20" s="139">
        <f>H21+H25+H23</f>
        <v>41</v>
      </c>
      <c r="I20" s="138">
        <f t="shared" si="1"/>
        <v>99.5145631067961</v>
      </c>
      <c r="J20" s="139">
        <f>J21+J25</f>
        <v>49.2</v>
      </c>
      <c r="K20" s="139">
        <f>K21+K25</f>
        <v>0</v>
      </c>
      <c r="L20" s="139">
        <f>L21+L25</f>
        <v>49.2</v>
      </c>
      <c r="M20" s="139">
        <f>M21+M25</f>
        <v>49.2</v>
      </c>
      <c r="N20" s="114" t="e">
        <f>#REF!+#REF!</f>
        <v>#REF!</v>
      </c>
      <c r="O20" s="147">
        <f t="shared" si="6"/>
        <v>100</v>
      </c>
      <c r="P20" s="139">
        <f t="shared" si="2"/>
        <v>90.4</v>
      </c>
      <c r="Q20" s="158">
        <f t="shared" si="3"/>
        <v>90.2</v>
      </c>
      <c r="R20" s="158">
        <f t="shared" si="4"/>
        <v>-0.20000000000000284</v>
      </c>
      <c r="S20" s="159">
        <f t="shared" si="5"/>
        <v>99.7787610619469</v>
      </c>
    </row>
    <row r="21" spans="1:19" s="6" customFormat="1" ht="41.25" customHeight="1">
      <c r="A21" s="46">
        <v>11</v>
      </c>
      <c r="B21" s="6">
        <v>4</v>
      </c>
      <c r="C21" s="30" t="s">
        <v>189</v>
      </c>
      <c r="D21" s="30" t="s">
        <v>190</v>
      </c>
      <c r="E21" s="30" t="s">
        <v>192</v>
      </c>
      <c r="F21" s="38" t="s">
        <v>191</v>
      </c>
      <c r="G21" s="138"/>
      <c r="H21" s="138"/>
      <c r="I21" s="138"/>
      <c r="J21" s="138">
        <f>J22</f>
        <v>49.2</v>
      </c>
      <c r="K21" s="166">
        <f>K22</f>
        <v>0</v>
      </c>
      <c r="L21" s="138">
        <f>L22</f>
        <v>49.2</v>
      </c>
      <c r="M21" s="138">
        <f>M22</f>
        <v>49.2</v>
      </c>
      <c r="N21" s="112">
        <f>N22</f>
        <v>0</v>
      </c>
      <c r="O21" s="147">
        <f t="shared" si="6"/>
        <v>100</v>
      </c>
      <c r="P21" s="139">
        <f t="shared" si="2"/>
        <v>49.2</v>
      </c>
      <c r="Q21" s="158">
        <f t="shared" si="3"/>
        <v>49.2</v>
      </c>
      <c r="R21" s="158">
        <f t="shared" si="4"/>
        <v>0</v>
      </c>
      <c r="S21" s="159">
        <f t="shared" si="5"/>
        <v>100</v>
      </c>
    </row>
    <row r="22" spans="1:19" s="37" customFormat="1" ht="73.5" customHeight="1">
      <c r="A22" s="70"/>
      <c r="C22" s="33"/>
      <c r="D22" s="33"/>
      <c r="E22" s="33"/>
      <c r="F22" s="87" t="s">
        <v>614</v>
      </c>
      <c r="G22" s="142"/>
      <c r="H22" s="142"/>
      <c r="I22" s="138"/>
      <c r="J22" s="142">
        <v>49.2</v>
      </c>
      <c r="K22" s="150"/>
      <c r="L22" s="142">
        <v>49.2</v>
      </c>
      <c r="M22" s="142">
        <v>49.2</v>
      </c>
      <c r="N22" s="113"/>
      <c r="O22" s="147">
        <f t="shared" si="6"/>
        <v>100</v>
      </c>
      <c r="P22" s="139">
        <f t="shared" si="2"/>
        <v>49.2</v>
      </c>
      <c r="Q22" s="158">
        <f t="shared" si="3"/>
        <v>49.2</v>
      </c>
      <c r="R22" s="158">
        <f t="shared" si="4"/>
        <v>0</v>
      </c>
      <c r="S22" s="159">
        <f t="shared" si="5"/>
        <v>100</v>
      </c>
    </row>
    <row r="23" spans="3:19" s="6" customFormat="1" ht="37.5">
      <c r="C23" s="30" t="s">
        <v>202</v>
      </c>
      <c r="D23" s="30" t="s">
        <v>203</v>
      </c>
      <c r="E23" s="30" t="s">
        <v>63</v>
      </c>
      <c r="F23" s="40" t="s">
        <v>41</v>
      </c>
      <c r="G23" s="138">
        <f>G24</f>
        <v>11</v>
      </c>
      <c r="H23" s="138">
        <f>SUM(H24:H24)</f>
        <v>10.9</v>
      </c>
      <c r="I23" s="138">
        <f t="shared" si="1"/>
        <v>99.0909090909091</v>
      </c>
      <c r="J23" s="138">
        <f>K23+N23</f>
        <v>0</v>
      </c>
      <c r="K23" s="138">
        <f>K24</f>
        <v>0</v>
      </c>
      <c r="L23" s="138">
        <f>L24</f>
        <v>0</v>
      </c>
      <c r="M23" s="138">
        <f>M24</f>
        <v>0</v>
      </c>
      <c r="N23" s="112">
        <f>N24</f>
        <v>0</v>
      </c>
      <c r="O23" s="147"/>
      <c r="P23" s="139">
        <f t="shared" si="2"/>
        <v>11</v>
      </c>
      <c r="Q23" s="158">
        <f t="shared" si="3"/>
        <v>10.9</v>
      </c>
      <c r="R23" s="158">
        <f t="shared" si="4"/>
        <v>-0.09999999999999964</v>
      </c>
      <c r="S23" s="159">
        <f t="shared" si="5"/>
        <v>99.0909090909091</v>
      </c>
    </row>
    <row r="24" spans="3:19" s="6" customFormat="1" ht="55.5" customHeight="1">
      <c r="C24" s="30"/>
      <c r="D24" s="30"/>
      <c r="E24" s="30"/>
      <c r="F24" s="47" t="s">
        <v>204</v>
      </c>
      <c r="G24" s="138">
        <v>11</v>
      </c>
      <c r="H24" s="138">
        <v>10.9</v>
      </c>
      <c r="I24" s="138">
        <f t="shared" si="1"/>
        <v>99.0909090909091</v>
      </c>
      <c r="J24" s="138">
        <f>K24+N24</f>
        <v>0</v>
      </c>
      <c r="K24" s="151"/>
      <c r="L24" s="138"/>
      <c r="M24" s="138"/>
      <c r="N24" s="112"/>
      <c r="O24" s="147"/>
      <c r="P24" s="139">
        <f t="shared" si="2"/>
        <v>11</v>
      </c>
      <c r="Q24" s="158">
        <f t="shared" si="3"/>
        <v>10.9</v>
      </c>
      <c r="R24" s="158">
        <f t="shared" si="4"/>
        <v>-0.09999999999999964</v>
      </c>
      <c r="S24" s="159">
        <f t="shared" si="5"/>
        <v>99.0909090909091</v>
      </c>
    </row>
    <row r="25" spans="3:19" s="6" customFormat="1" ht="43.5" customHeight="1">
      <c r="C25" s="30" t="s">
        <v>509</v>
      </c>
      <c r="D25" s="30" t="s">
        <v>510</v>
      </c>
      <c r="E25" s="30" t="s">
        <v>62</v>
      </c>
      <c r="F25" s="1" t="s">
        <v>511</v>
      </c>
      <c r="G25" s="138">
        <f>G26</f>
        <v>30.2</v>
      </c>
      <c r="H25" s="138">
        <f aca="true" t="shared" si="8" ref="H25:N25">H26</f>
        <v>30.1</v>
      </c>
      <c r="I25" s="138">
        <f t="shared" si="1"/>
        <v>99.66887417218544</v>
      </c>
      <c r="J25" s="138">
        <f>K25+N25</f>
        <v>0</v>
      </c>
      <c r="K25" s="138">
        <f t="shared" si="8"/>
        <v>0</v>
      </c>
      <c r="L25" s="138">
        <f t="shared" si="8"/>
        <v>0</v>
      </c>
      <c r="M25" s="138">
        <f t="shared" si="8"/>
        <v>0</v>
      </c>
      <c r="N25" s="12">
        <f t="shared" si="8"/>
        <v>0</v>
      </c>
      <c r="O25" s="147"/>
      <c r="P25" s="139">
        <f t="shared" si="2"/>
        <v>30.2</v>
      </c>
      <c r="Q25" s="158">
        <f t="shared" si="3"/>
        <v>30.1</v>
      </c>
      <c r="R25" s="158">
        <f t="shared" si="4"/>
        <v>-0.09999999999999787</v>
      </c>
      <c r="S25" s="159">
        <f t="shared" si="5"/>
        <v>99.66887417218544</v>
      </c>
    </row>
    <row r="26" spans="3:19" s="6" customFormat="1" ht="29.25" customHeight="1">
      <c r="C26" s="30"/>
      <c r="D26" s="30"/>
      <c r="E26" s="30"/>
      <c r="F26" s="42" t="s">
        <v>512</v>
      </c>
      <c r="G26" s="138">
        <v>30.2</v>
      </c>
      <c r="H26" s="138">
        <v>30.1</v>
      </c>
      <c r="I26" s="138">
        <f t="shared" si="1"/>
        <v>99.66887417218544</v>
      </c>
      <c r="J26" s="138">
        <f>K26+N26</f>
        <v>0</v>
      </c>
      <c r="K26" s="151"/>
      <c r="L26" s="138"/>
      <c r="M26" s="138"/>
      <c r="N26" s="112"/>
      <c r="O26" s="147"/>
      <c r="P26" s="139">
        <f t="shared" si="2"/>
        <v>30.2</v>
      </c>
      <c r="Q26" s="158">
        <f t="shared" si="3"/>
        <v>30.1</v>
      </c>
      <c r="R26" s="158">
        <f t="shared" si="4"/>
        <v>-0.09999999999999787</v>
      </c>
      <c r="S26" s="159">
        <f t="shared" si="5"/>
        <v>99.66887417218544</v>
      </c>
    </row>
    <row r="27" spans="3:19" s="46" customFormat="1" ht="47.25" customHeight="1">
      <c r="C27" s="28"/>
      <c r="D27" s="28"/>
      <c r="E27" s="28"/>
      <c r="F27" s="44" t="s">
        <v>345</v>
      </c>
      <c r="G27" s="139">
        <f>G31</f>
        <v>279.2</v>
      </c>
      <c r="H27" s="139">
        <f>H31</f>
        <v>263.9</v>
      </c>
      <c r="I27" s="138">
        <f t="shared" si="1"/>
        <v>94.52005730659026</v>
      </c>
      <c r="J27" s="139">
        <f>J31</f>
        <v>53.9</v>
      </c>
      <c r="K27" s="139" t="e">
        <f>K28+#REF!</f>
        <v>#REF!</v>
      </c>
      <c r="L27" s="139">
        <f>L31</f>
        <v>53.8</v>
      </c>
      <c r="M27" s="139">
        <f>M31</f>
        <v>53.8</v>
      </c>
      <c r="N27" s="114" t="e">
        <f>N28+#REF!</f>
        <v>#REF!</v>
      </c>
      <c r="O27" s="147">
        <f t="shared" si="6"/>
        <v>99.81447124304268</v>
      </c>
      <c r="P27" s="139">
        <f t="shared" si="2"/>
        <v>333.09999999999997</v>
      </c>
      <c r="Q27" s="158">
        <f t="shared" si="3"/>
        <v>317.7</v>
      </c>
      <c r="R27" s="158">
        <f t="shared" si="4"/>
        <v>-15.399999999999977</v>
      </c>
      <c r="S27" s="159">
        <f t="shared" si="5"/>
        <v>95.37676373461423</v>
      </c>
    </row>
    <row r="28" spans="1:19" s="6" customFormat="1" ht="34.5" customHeight="1" hidden="1">
      <c r="A28" s="46">
        <v>12</v>
      </c>
      <c r="B28" s="6">
        <v>3</v>
      </c>
      <c r="C28" s="30" t="s">
        <v>193</v>
      </c>
      <c r="D28" s="30" t="s">
        <v>194</v>
      </c>
      <c r="E28" s="30" t="s">
        <v>61</v>
      </c>
      <c r="F28" s="31" t="s">
        <v>195</v>
      </c>
      <c r="G28" s="138">
        <f>G29</f>
        <v>0</v>
      </c>
      <c r="H28" s="138"/>
      <c r="I28" s="138" t="e">
        <f t="shared" si="1"/>
        <v>#DIV/0!</v>
      </c>
      <c r="J28" s="138">
        <f>J29</f>
        <v>0</v>
      </c>
      <c r="K28" s="138">
        <f>K29</f>
        <v>0</v>
      </c>
      <c r="L28" s="138">
        <f aca="true" t="shared" si="9" ref="L28:N29">L29</f>
        <v>0</v>
      </c>
      <c r="M28" s="138">
        <f t="shared" si="9"/>
        <v>0</v>
      </c>
      <c r="N28" s="112">
        <f t="shared" si="9"/>
        <v>0</v>
      </c>
      <c r="O28" s="147" t="e">
        <f t="shared" si="6"/>
        <v>#DIV/0!</v>
      </c>
      <c r="P28" s="139">
        <f t="shared" si="2"/>
        <v>0</v>
      </c>
      <c r="Q28" s="158">
        <f t="shared" si="3"/>
        <v>0</v>
      </c>
      <c r="R28" s="158">
        <f t="shared" si="4"/>
        <v>0</v>
      </c>
      <c r="S28" s="159" t="e">
        <f t="shared" si="5"/>
        <v>#DIV/0!</v>
      </c>
    </row>
    <row r="29" spans="3:19" s="6" customFormat="1" ht="35.25" customHeight="1" hidden="1">
      <c r="C29" s="30" t="s">
        <v>196</v>
      </c>
      <c r="D29" s="30" t="s">
        <v>197</v>
      </c>
      <c r="E29" s="30" t="s">
        <v>61</v>
      </c>
      <c r="F29" s="41" t="s">
        <v>198</v>
      </c>
      <c r="G29" s="138">
        <f>G30</f>
        <v>0</v>
      </c>
      <c r="H29" s="138"/>
      <c r="I29" s="138" t="e">
        <f t="shared" si="1"/>
        <v>#DIV/0!</v>
      </c>
      <c r="J29" s="138">
        <f>K29+N29</f>
        <v>0</v>
      </c>
      <c r="K29" s="138">
        <f>K30</f>
        <v>0</v>
      </c>
      <c r="L29" s="138">
        <f t="shared" si="9"/>
        <v>0</v>
      </c>
      <c r="M29" s="138">
        <f t="shared" si="9"/>
        <v>0</v>
      </c>
      <c r="N29" s="112">
        <f t="shared" si="9"/>
        <v>0</v>
      </c>
      <c r="O29" s="147" t="e">
        <f t="shared" si="6"/>
        <v>#DIV/0!</v>
      </c>
      <c r="P29" s="139">
        <f t="shared" si="2"/>
        <v>0</v>
      </c>
      <c r="Q29" s="158">
        <f t="shared" si="3"/>
        <v>0</v>
      </c>
      <c r="R29" s="158">
        <f t="shared" si="4"/>
        <v>0</v>
      </c>
      <c r="S29" s="159" t="e">
        <f t="shared" si="5"/>
        <v>#DIV/0!</v>
      </c>
    </row>
    <row r="30" spans="3:19" s="37" customFormat="1" ht="66" customHeight="1" hidden="1">
      <c r="C30" s="33"/>
      <c r="D30" s="33"/>
      <c r="E30" s="33"/>
      <c r="F30" s="35" t="s">
        <v>199</v>
      </c>
      <c r="G30" s="142"/>
      <c r="H30" s="142"/>
      <c r="I30" s="138" t="e">
        <f t="shared" si="1"/>
        <v>#DIV/0!</v>
      </c>
      <c r="J30" s="142"/>
      <c r="K30" s="150"/>
      <c r="L30" s="142"/>
      <c r="M30" s="142"/>
      <c r="N30" s="113"/>
      <c r="O30" s="147" t="e">
        <f t="shared" si="6"/>
        <v>#DIV/0!</v>
      </c>
      <c r="P30" s="139">
        <f t="shared" si="2"/>
        <v>0</v>
      </c>
      <c r="Q30" s="158">
        <f t="shared" si="3"/>
        <v>0</v>
      </c>
      <c r="R30" s="158">
        <f t="shared" si="4"/>
        <v>0</v>
      </c>
      <c r="S30" s="159" t="e">
        <f t="shared" si="5"/>
        <v>#DIV/0!</v>
      </c>
    </row>
    <row r="31" spans="3:19" s="6" customFormat="1" ht="45" customHeight="1">
      <c r="C31" s="30" t="s">
        <v>497</v>
      </c>
      <c r="D31" s="30" t="s">
        <v>208</v>
      </c>
      <c r="E31" s="30" t="s">
        <v>111</v>
      </c>
      <c r="F31" s="41" t="s">
        <v>209</v>
      </c>
      <c r="G31" s="138">
        <f>G32</f>
        <v>279.2</v>
      </c>
      <c r="H31" s="138">
        <f>H32</f>
        <v>263.9</v>
      </c>
      <c r="I31" s="138">
        <f t="shared" si="1"/>
        <v>94.52005730659026</v>
      </c>
      <c r="J31" s="138">
        <f>J32</f>
        <v>53.9</v>
      </c>
      <c r="K31" s="138">
        <f>K32</f>
        <v>0</v>
      </c>
      <c r="L31" s="138">
        <f>L32</f>
        <v>53.8</v>
      </c>
      <c r="M31" s="138">
        <f>M32</f>
        <v>53.8</v>
      </c>
      <c r="N31" s="112">
        <f>N32</f>
        <v>0</v>
      </c>
      <c r="O31" s="147">
        <f t="shared" si="6"/>
        <v>99.81447124304268</v>
      </c>
      <c r="P31" s="139">
        <f t="shared" si="2"/>
        <v>333.09999999999997</v>
      </c>
      <c r="Q31" s="158">
        <f t="shared" si="3"/>
        <v>317.7</v>
      </c>
      <c r="R31" s="158">
        <f t="shared" si="4"/>
        <v>-15.399999999999977</v>
      </c>
      <c r="S31" s="159">
        <f t="shared" si="5"/>
        <v>95.37676373461423</v>
      </c>
    </row>
    <row r="32" spans="3:19" s="6" customFormat="1" ht="45.75" customHeight="1">
      <c r="C32" s="33"/>
      <c r="D32" s="33"/>
      <c r="E32" s="30"/>
      <c r="F32" s="35" t="s">
        <v>513</v>
      </c>
      <c r="G32" s="142">
        <v>279.2</v>
      </c>
      <c r="H32" s="142">
        <v>263.9</v>
      </c>
      <c r="I32" s="138">
        <f t="shared" si="1"/>
        <v>94.52005730659026</v>
      </c>
      <c r="J32" s="142">
        <v>53.9</v>
      </c>
      <c r="K32" s="150"/>
      <c r="L32" s="142">
        <v>53.8</v>
      </c>
      <c r="M32" s="142">
        <v>53.8</v>
      </c>
      <c r="N32" s="113"/>
      <c r="O32" s="147">
        <f t="shared" si="6"/>
        <v>99.81447124304268</v>
      </c>
      <c r="P32" s="139">
        <f t="shared" si="2"/>
        <v>333.09999999999997</v>
      </c>
      <c r="Q32" s="158">
        <f t="shared" si="3"/>
        <v>317.7</v>
      </c>
      <c r="R32" s="158">
        <f t="shared" si="4"/>
        <v>-15.399999999999977</v>
      </c>
      <c r="S32" s="159">
        <f t="shared" si="5"/>
        <v>95.37676373461423</v>
      </c>
    </row>
    <row r="33" spans="3:19" s="46" customFormat="1" ht="27" customHeight="1">
      <c r="C33" s="28"/>
      <c r="D33" s="28"/>
      <c r="E33" s="28"/>
      <c r="F33" s="44" t="s">
        <v>347</v>
      </c>
      <c r="G33" s="139">
        <f>G34</f>
        <v>6.9</v>
      </c>
      <c r="H33" s="139">
        <f aca="true" t="shared" si="10" ref="H33:N33">H34</f>
        <v>6.9</v>
      </c>
      <c r="I33" s="138">
        <f t="shared" si="1"/>
        <v>100</v>
      </c>
      <c r="J33" s="139">
        <f>J34</f>
        <v>43</v>
      </c>
      <c r="K33" s="139">
        <f t="shared" si="10"/>
        <v>0</v>
      </c>
      <c r="L33" s="139">
        <f t="shared" si="10"/>
        <v>43</v>
      </c>
      <c r="M33" s="139">
        <f t="shared" si="10"/>
        <v>43</v>
      </c>
      <c r="N33" s="114">
        <f t="shared" si="10"/>
        <v>0</v>
      </c>
      <c r="O33" s="147">
        <f t="shared" si="6"/>
        <v>100</v>
      </c>
      <c r="P33" s="139">
        <f t="shared" si="2"/>
        <v>49.9</v>
      </c>
      <c r="Q33" s="158">
        <f t="shared" si="3"/>
        <v>49.9</v>
      </c>
      <c r="R33" s="158">
        <f t="shared" si="4"/>
        <v>0</v>
      </c>
      <c r="S33" s="159">
        <f t="shared" si="5"/>
        <v>100</v>
      </c>
    </row>
    <row r="34" spans="3:19" s="15" customFormat="1" ht="41.25" customHeight="1">
      <c r="C34" s="30" t="s">
        <v>205</v>
      </c>
      <c r="D34" s="30" t="s">
        <v>206</v>
      </c>
      <c r="E34" s="30" t="s">
        <v>59</v>
      </c>
      <c r="F34" s="39" t="s">
        <v>207</v>
      </c>
      <c r="G34" s="138">
        <f>SUM(G35:G36)</f>
        <v>6.9</v>
      </c>
      <c r="H34" s="138">
        <f aca="true" t="shared" si="11" ref="H34:N34">SUM(H35:H36)</f>
        <v>6.9</v>
      </c>
      <c r="I34" s="138">
        <f t="shared" si="1"/>
        <v>100</v>
      </c>
      <c r="J34" s="138">
        <f>J35</f>
        <v>43</v>
      </c>
      <c r="K34" s="138">
        <f t="shared" si="11"/>
        <v>0</v>
      </c>
      <c r="L34" s="138">
        <f t="shared" si="11"/>
        <v>43</v>
      </c>
      <c r="M34" s="138">
        <f t="shared" si="11"/>
        <v>43</v>
      </c>
      <c r="N34" s="112">
        <f t="shared" si="11"/>
        <v>0</v>
      </c>
      <c r="O34" s="147">
        <f t="shared" si="6"/>
        <v>100</v>
      </c>
      <c r="P34" s="139">
        <f t="shared" si="2"/>
        <v>49.9</v>
      </c>
      <c r="Q34" s="158">
        <f t="shared" si="3"/>
        <v>49.9</v>
      </c>
      <c r="R34" s="158">
        <f t="shared" si="4"/>
        <v>0</v>
      </c>
      <c r="S34" s="159">
        <f t="shared" si="5"/>
        <v>100</v>
      </c>
    </row>
    <row r="35" spans="3:19" s="15" customFormat="1" ht="56.25">
      <c r="C35" s="30"/>
      <c r="D35" s="30"/>
      <c r="E35" s="30"/>
      <c r="F35" s="48" t="s">
        <v>153</v>
      </c>
      <c r="G35" s="143">
        <v>6.9</v>
      </c>
      <c r="H35" s="143">
        <v>6.9</v>
      </c>
      <c r="I35" s="138">
        <f t="shared" si="1"/>
        <v>100</v>
      </c>
      <c r="J35" s="138">
        <v>43</v>
      </c>
      <c r="K35" s="143"/>
      <c r="L35" s="143">
        <v>43</v>
      </c>
      <c r="M35" s="143">
        <v>43</v>
      </c>
      <c r="N35" s="112"/>
      <c r="O35" s="147">
        <f t="shared" si="6"/>
        <v>100</v>
      </c>
      <c r="P35" s="139">
        <f t="shared" si="2"/>
        <v>49.9</v>
      </c>
      <c r="Q35" s="158">
        <f t="shared" si="3"/>
        <v>49.9</v>
      </c>
      <c r="R35" s="158">
        <f t="shared" si="4"/>
        <v>0</v>
      </c>
      <c r="S35" s="159">
        <f t="shared" si="5"/>
        <v>100</v>
      </c>
    </row>
    <row r="36" spans="3:19" s="15" customFormat="1" ht="47.25" customHeight="1" hidden="1">
      <c r="C36" s="30"/>
      <c r="D36" s="30"/>
      <c r="E36" s="30"/>
      <c r="F36" s="48" t="s">
        <v>120</v>
      </c>
      <c r="G36" s="143"/>
      <c r="H36" s="143"/>
      <c r="I36" s="138" t="e">
        <f t="shared" si="1"/>
        <v>#DIV/0!</v>
      </c>
      <c r="J36" s="142">
        <f>K36+N36</f>
        <v>0</v>
      </c>
      <c r="K36" s="142"/>
      <c r="L36" s="142"/>
      <c r="M36" s="142"/>
      <c r="N36" s="113"/>
      <c r="O36" s="147" t="e">
        <f t="shared" si="6"/>
        <v>#DIV/0!</v>
      </c>
      <c r="P36" s="139">
        <f t="shared" si="2"/>
        <v>0</v>
      </c>
      <c r="Q36" s="158">
        <f t="shared" si="3"/>
        <v>0</v>
      </c>
      <c r="R36" s="158">
        <f t="shared" si="4"/>
        <v>0</v>
      </c>
      <c r="S36" s="159" t="e">
        <f t="shared" si="5"/>
        <v>#DIV/0!</v>
      </c>
    </row>
    <row r="37" spans="3:19" s="18" customFormat="1" ht="31.5" customHeight="1">
      <c r="C37" s="97"/>
      <c r="D37" s="97"/>
      <c r="E37" s="97"/>
      <c r="F37" s="98" t="s">
        <v>10</v>
      </c>
      <c r="G37" s="144">
        <f>G14+G20+G27+G33</f>
        <v>17580.400000000005</v>
      </c>
      <c r="H37" s="144">
        <f>H14+H20+H27+H33</f>
        <v>17557.300000000003</v>
      </c>
      <c r="I37" s="138">
        <f t="shared" si="1"/>
        <v>99.86860367227138</v>
      </c>
      <c r="J37" s="144">
        <f>J14+J20+J27+J33</f>
        <v>224.1</v>
      </c>
      <c r="K37" s="144" t="e">
        <f>K14+K20+K27+K33</f>
        <v>#REF!</v>
      </c>
      <c r="L37" s="144">
        <f>L14+L20+L27+L33</f>
        <v>193.10000000000002</v>
      </c>
      <c r="M37" s="144">
        <f>M14+M20+M27+M33</f>
        <v>190</v>
      </c>
      <c r="N37" s="117" t="e">
        <f>N14+N20+N27+N33</f>
        <v>#REF!</v>
      </c>
      <c r="O37" s="147">
        <f t="shared" si="6"/>
        <v>86.16688978134762</v>
      </c>
      <c r="P37" s="139">
        <f t="shared" si="2"/>
        <v>17804.500000000004</v>
      </c>
      <c r="Q37" s="158">
        <f t="shared" si="3"/>
        <v>17750.4</v>
      </c>
      <c r="R37" s="158">
        <f t="shared" si="4"/>
        <v>-54.10000000000218</v>
      </c>
      <c r="S37" s="159">
        <f t="shared" si="5"/>
        <v>99.69614423319946</v>
      </c>
    </row>
    <row r="38" spans="3:19" s="6" customFormat="1" ht="45.75" customHeight="1">
      <c r="C38" s="28" t="s">
        <v>165</v>
      </c>
      <c r="D38" s="28"/>
      <c r="E38" s="28"/>
      <c r="F38" s="29" t="s">
        <v>49</v>
      </c>
      <c r="G38" s="138"/>
      <c r="H38" s="138"/>
      <c r="I38" s="138"/>
      <c r="J38" s="138"/>
      <c r="K38" s="138"/>
      <c r="L38" s="138"/>
      <c r="M38" s="138"/>
      <c r="N38" s="112"/>
      <c r="O38" s="147"/>
      <c r="P38" s="139"/>
      <c r="Q38" s="158"/>
      <c r="R38" s="158"/>
      <c r="S38" s="159"/>
    </row>
    <row r="39" spans="3:19" s="6" customFormat="1" ht="45.75" customHeight="1">
      <c r="C39" s="28" t="s">
        <v>166</v>
      </c>
      <c r="D39" s="28"/>
      <c r="E39" s="28"/>
      <c r="F39" s="29" t="s">
        <v>48</v>
      </c>
      <c r="G39" s="138"/>
      <c r="H39" s="138"/>
      <c r="I39" s="138"/>
      <c r="J39" s="138"/>
      <c r="K39" s="138"/>
      <c r="L39" s="138"/>
      <c r="M39" s="138"/>
      <c r="N39" s="112"/>
      <c r="O39" s="147"/>
      <c r="P39" s="139"/>
      <c r="Q39" s="158"/>
      <c r="R39" s="158"/>
      <c r="S39" s="159"/>
    </row>
    <row r="40" spans="3:19" s="46" customFormat="1" ht="45.75" customHeight="1">
      <c r="C40" s="28"/>
      <c r="D40" s="28"/>
      <c r="E40" s="28"/>
      <c r="F40" s="29" t="s">
        <v>351</v>
      </c>
      <c r="G40" s="139">
        <f>G41</f>
        <v>2810</v>
      </c>
      <c r="H40" s="139">
        <f aca="true" t="shared" si="12" ref="H40:N41">H41</f>
        <v>2798.9</v>
      </c>
      <c r="I40" s="138">
        <f t="shared" si="1"/>
        <v>99.60498220640571</v>
      </c>
      <c r="J40" s="139">
        <f>J41</f>
        <v>15</v>
      </c>
      <c r="K40" s="165">
        <f>K41</f>
        <v>0</v>
      </c>
      <c r="L40" s="139">
        <f>L41</f>
        <v>15</v>
      </c>
      <c r="M40" s="139">
        <f>M41</f>
        <v>15</v>
      </c>
      <c r="N40" s="114">
        <f t="shared" si="12"/>
        <v>0</v>
      </c>
      <c r="O40" s="147">
        <f t="shared" si="6"/>
        <v>100</v>
      </c>
      <c r="P40" s="139">
        <f t="shared" si="2"/>
        <v>2825</v>
      </c>
      <c r="Q40" s="158">
        <f t="shared" si="3"/>
        <v>2813.9</v>
      </c>
      <c r="R40" s="158">
        <f t="shared" si="4"/>
        <v>-11.099999999999909</v>
      </c>
      <c r="S40" s="159">
        <f t="shared" si="5"/>
        <v>99.60707964601771</v>
      </c>
    </row>
    <row r="41" spans="1:19" s="6" customFormat="1" ht="63" customHeight="1">
      <c r="A41" s="6">
        <v>2</v>
      </c>
      <c r="B41" s="6">
        <v>7</v>
      </c>
      <c r="C41" s="30" t="s">
        <v>167</v>
      </c>
      <c r="D41" s="30" t="s">
        <v>64</v>
      </c>
      <c r="E41" s="30" t="s">
        <v>60</v>
      </c>
      <c r="F41" s="41" t="s">
        <v>172</v>
      </c>
      <c r="G41" s="138">
        <f>G42</f>
        <v>2810</v>
      </c>
      <c r="H41" s="138">
        <f t="shared" si="12"/>
        <v>2798.9</v>
      </c>
      <c r="I41" s="138">
        <f t="shared" si="1"/>
        <v>99.60498220640571</v>
      </c>
      <c r="J41" s="138">
        <f>J42</f>
        <v>15</v>
      </c>
      <c r="K41" s="166">
        <f t="shared" si="12"/>
        <v>0</v>
      </c>
      <c r="L41" s="138">
        <f t="shared" si="12"/>
        <v>15</v>
      </c>
      <c r="M41" s="138">
        <f t="shared" si="12"/>
        <v>15</v>
      </c>
      <c r="N41" s="112">
        <f t="shared" si="12"/>
        <v>0</v>
      </c>
      <c r="O41" s="147">
        <f t="shared" si="6"/>
        <v>100</v>
      </c>
      <c r="P41" s="139">
        <f t="shared" si="2"/>
        <v>2825</v>
      </c>
      <c r="Q41" s="158">
        <f t="shared" si="3"/>
        <v>2813.9</v>
      </c>
      <c r="R41" s="158">
        <f t="shared" si="4"/>
        <v>-11.099999999999909</v>
      </c>
      <c r="S41" s="159">
        <f t="shared" si="5"/>
        <v>99.60707964601771</v>
      </c>
    </row>
    <row r="42" spans="3:19" s="37" customFormat="1" ht="41.25" customHeight="1">
      <c r="C42" s="33"/>
      <c r="D42" s="33"/>
      <c r="E42" s="33"/>
      <c r="F42" s="35" t="s">
        <v>498</v>
      </c>
      <c r="G42" s="140">
        <v>2810</v>
      </c>
      <c r="H42" s="140">
        <v>2798.9</v>
      </c>
      <c r="I42" s="138">
        <f t="shared" si="1"/>
        <v>99.60498220640571</v>
      </c>
      <c r="J42" s="142">
        <v>15</v>
      </c>
      <c r="K42" s="140"/>
      <c r="L42" s="140">
        <v>15</v>
      </c>
      <c r="M42" s="140">
        <v>15</v>
      </c>
      <c r="N42" s="115"/>
      <c r="O42" s="147">
        <f t="shared" si="6"/>
        <v>100</v>
      </c>
      <c r="P42" s="139">
        <f t="shared" si="2"/>
        <v>2825</v>
      </c>
      <c r="Q42" s="158">
        <f t="shared" si="3"/>
        <v>2813.9</v>
      </c>
      <c r="R42" s="158">
        <f t="shared" si="4"/>
        <v>-11.099999999999909</v>
      </c>
      <c r="S42" s="159">
        <f t="shared" si="5"/>
        <v>99.60707964601771</v>
      </c>
    </row>
    <row r="43" spans="3:19" s="46" customFormat="1" ht="41.25" customHeight="1">
      <c r="C43" s="28"/>
      <c r="D43" s="28"/>
      <c r="E43" s="28"/>
      <c r="F43" s="44" t="s">
        <v>312</v>
      </c>
      <c r="G43" s="139">
        <f>G44+G48+G59+G60+G63+G67</f>
        <v>141631.99999999997</v>
      </c>
      <c r="H43" s="139">
        <f>H44+H48+H59+H60+H63+H67</f>
        <v>141329.09999999998</v>
      </c>
      <c r="I43" s="138">
        <f t="shared" si="1"/>
        <v>99.78613590149119</v>
      </c>
      <c r="J43" s="139">
        <f>J44+J48+J59+J60+J63+J67</f>
        <v>9576.300000000001</v>
      </c>
      <c r="K43" s="139">
        <f>K44+K48+K59+K60+K63+K67</f>
        <v>7748.45366</v>
      </c>
      <c r="L43" s="139">
        <f>L44+L48+L59+L60+L63+L67</f>
        <v>9252.7</v>
      </c>
      <c r="M43" s="139">
        <f>M44+M48+M59+M60+M63+M67</f>
        <v>876.1999999999999</v>
      </c>
      <c r="N43" s="60" t="e">
        <f>N44+N48+N59+N60+#REF!</f>
        <v>#REF!</v>
      </c>
      <c r="O43" s="147">
        <f t="shared" si="6"/>
        <v>96.62082432672327</v>
      </c>
      <c r="P43" s="139">
        <f t="shared" si="2"/>
        <v>151208.29999999996</v>
      </c>
      <c r="Q43" s="158">
        <f t="shared" si="3"/>
        <v>150581.8</v>
      </c>
      <c r="R43" s="158">
        <f t="shared" si="4"/>
        <v>-626.4999999999709</v>
      </c>
      <c r="S43" s="159">
        <f t="shared" si="5"/>
        <v>99.58567089240474</v>
      </c>
    </row>
    <row r="44" spans="3:19" s="6" customFormat="1" ht="33.75" customHeight="1">
      <c r="C44" s="30" t="s">
        <v>210</v>
      </c>
      <c r="D44" s="30" t="s">
        <v>65</v>
      </c>
      <c r="E44" s="30" t="s">
        <v>66</v>
      </c>
      <c r="F44" s="31" t="s">
        <v>211</v>
      </c>
      <c r="G44" s="138">
        <f>SUM(G45:G47)</f>
        <v>49009.299999999996</v>
      </c>
      <c r="H44" s="141">
        <f>SUM(H45:H47)</f>
        <v>48989.5</v>
      </c>
      <c r="I44" s="138">
        <f t="shared" si="1"/>
        <v>99.95959950458384</v>
      </c>
      <c r="J44" s="141">
        <f>SUM(J45:J47)</f>
        <v>5304.8</v>
      </c>
      <c r="K44" s="141">
        <f>SUM(K45:K47)</f>
        <v>4604.58357</v>
      </c>
      <c r="L44" s="141">
        <f>SUM(L45:L47)</f>
        <v>5210.400000000001</v>
      </c>
      <c r="M44" s="141">
        <f>SUM(M45:M47)</f>
        <v>70.4</v>
      </c>
      <c r="N44" s="112">
        <f>SUM(N45:N47)</f>
        <v>12.7</v>
      </c>
      <c r="O44" s="147">
        <f t="shared" si="6"/>
        <v>98.22047956567637</v>
      </c>
      <c r="P44" s="139">
        <f t="shared" si="2"/>
        <v>54314.1</v>
      </c>
      <c r="Q44" s="158">
        <f t="shared" si="3"/>
        <v>54199.9</v>
      </c>
      <c r="R44" s="158">
        <f t="shared" si="4"/>
        <v>-114.19999999999709</v>
      </c>
      <c r="S44" s="159">
        <f t="shared" si="5"/>
        <v>99.78974152199889</v>
      </c>
    </row>
    <row r="45" spans="1:19" s="37" customFormat="1" ht="32.25" customHeight="1">
      <c r="A45" s="37">
        <v>1</v>
      </c>
      <c r="B45" s="37">
        <v>8</v>
      </c>
      <c r="C45" s="33"/>
      <c r="D45" s="33"/>
      <c r="E45" s="33"/>
      <c r="F45" s="42" t="s">
        <v>42</v>
      </c>
      <c r="G45" s="145">
        <f>48942.2-4</f>
        <v>48938.2</v>
      </c>
      <c r="H45" s="142">
        <f>48918.4</f>
        <v>48918.4</v>
      </c>
      <c r="I45" s="138">
        <f t="shared" si="1"/>
        <v>99.95954080861169</v>
      </c>
      <c r="J45" s="142">
        <f>4430.3+804+47.7</f>
        <v>5282</v>
      </c>
      <c r="K45" s="152">
        <f>4415.7521+188.83147</f>
        <v>4604.58357</v>
      </c>
      <c r="L45" s="142">
        <f>4336.1+803.9+47.6</f>
        <v>5187.6</v>
      </c>
      <c r="M45" s="142">
        <v>47.6</v>
      </c>
      <c r="N45" s="115">
        <v>6.2</v>
      </c>
      <c r="O45" s="147">
        <f t="shared" si="6"/>
        <v>98.21279818250663</v>
      </c>
      <c r="P45" s="139">
        <f t="shared" si="2"/>
        <v>54220.2</v>
      </c>
      <c r="Q45" s="158">
        <f t="shared" si="3"/>
        <v>54106</v>
      </c>
      <c r="R45" s="158">
        <f t="shared" si="4"/>
        <v>-114.19999999999709</v>
      </c>
      <c r="S45" s="159">
        <f t="shared" si="5"/>
        <v>99.78937739071417</v>
      </c>
    </row>
    <row r="46" spans="3:19" s="37" customFormat="1" ht="79.5" customHeight="1" hidden="1">
      <c r="C46" s="33"/>
      <c r="D46" s="33"/>
      <c r="E46" s="33"/>
      <c r="F46" s="42" t="s">
        <v>43</v>
      </c>
      <c r="G46" s="145"/>
      <c r="H46" s="142"/>
      <c r="I46" s="138" t="e">
        <f t="shared" si="1"/>
        <v>#DIV/0!</v>
      </c>
      <c r="J46" s="142">
        <f>K46+N46</f>
        <v>0</v>
      </c>
      <c r="K46" s="152"/>
      <c r="L46" s="142"/>
      <c r="M46" s="142"/>
      <c r="N46" s="115"/>
      <c r="O46" s="147" t="e">
        <f t="shared" si="6"/>
        <v>#DIV/0!</v>
      </c>
      <c r="P46" s="139">
        <f t="shared" si="2"/>
        <v>0</v>
      </c>
      <c r="Q46" s="158">
        <f t="shared" si="3"/>
        <v>0</v>
      </c>
      <c r="R46" s="158">
        <f t="shared" si="4"/>
        <v>0</v>
      </c>
      <c r="S46" s="159" t="e">
        <f t="shared" si="5"/>
        <v>#DIV/0!</v>
      </c>
    </row>
    <row r="47" spans="3:19" s="37" customFormat="1" ht="45" customHeight="1">
      <c r="C47" s="33"/>
      <c r="D47" s="33"/>
      <c r="E47" s="33"/>
      <c r="F47" s="42" t="s">
        <v>528</v>
      </c>
      <c r="G47" s="145">
        <v>71.1</v>
      </c>
      <c r="H47" s="142">
        <v>71.1</v>
      </c>
      <c r="I47" s="138">
        <f t="shared" si="1"/>
        <v>100</v>
      </c>
      <c r="J47" s="142">
        <v>22.8</v>
      </c>
      <c r="K47" s="152"/>
      <c r="L47" s="142">
        <v>22.8</v>
      </c>
      <c r="M47" s="142">
        <v>22.8</v>
      </c>
      <c r="N47" s="115">
        <v>6.5</v>
      </c>
      <c r="O47" s="147">
        <f t="shared" si="6"/>
        <v>100</v>
      </c>
      <c r="P47" s="139">
        <f t="shared" si="2"/>
        <v>93.89999999999999</v>
      </c>
      <c r="Q47" s="158">
        <f t="shared" si="3"/>
        <v>93.89999999999999</v>
      </c>
      <c r="R47" s="158">
        <f t="shared" si="4"/>
        <v>0</v>
      </c>
      <c r="S47" s="159">
        <f t="shared" si="5"/>
        <v>100</v>
      </c>
    </row>
    <row r="48" spans="1:19" s="15" customFormat="1" ht="99.75" customHeight="1">
      <c r="A48" s="15">
        <v>2</v>
      </c>
      <c r="B48" s="15">
        <v>9</v>
      </c>
      <c r="C48" s="30" t="s">
        <v>212</v>
      </c>
      <c r="D48" s="30" t="s">
        <v>67</v>
      </c>
      <c r="E48" s="30" t="s">
        <v>68</v>
      </c>
      <c r="F48" s="41" t="s">
        <v>394</v>
      </c>
      <c r="G48" s="138">
        <f>SUM(G49:G58)</f>
        <v>77637.4</v>
      </c>
      <c r="H48" s="138">
        <f>SUM(H49:H58)</f>
        <v>77422.79999999999</v>
      </c>
      <c r="I48" s="138">
        <f t="shared" si="1"/>
        <v>99.72358682799783</v>
      </c>
      <c r="J48" s="138">
        <f>SUM(J49:J58)</f>
        <v>3825.7999999999997</v>
      </c>
      <c r="K48" s="138">
        <f>SUM(K49:K58)</f>
        <v>3079.34409</v>
      </c>
      <c r="L48" s="138">
        <f>SUM(L49:L58)</f>
        <v>3603.2</v>
      </c>
      <c r="M48" s="138">
        <f>SUM(M49:M58)</f>
        <v>447.2</v>
      </c>
      <c r="N48" s="112">
        <f>SUM(N49:N58)</f>
        <v>124.0475</v>
      </c>
      <c r="O48" s="147">
        <f t="shared" si="6"/>
        <v>94.1816090752261</v>
      </c>
      <c r="P48" s="139">
        <f t="shared" si="2"/>
        <v>81463.2</v>
      </c>
      <c r="Q48" s="158">
        <f t="shared" si="3"/>
        <v>81025.99999999999</v>
      </c>
      <c r="R48" s="158">
        <f t="shared" si="4"/>
        <v>-437.20000000001164</v>
      </c>
      <c r="S48" s="159">
        <f t="shared" si="5"/>
        <v>99.4633159512516</v>
      </c>
    </row>
    <row r="49" spans="3:19" s="16" customFormat="1" ht="33" customHeight="1">
      <c r="C49" s="33"/>
      <c r="D49" s="33"/>
      <c r="E49" s="33"/>
      <c r="F49" s="35" t="s">
        <v>584</v>
      </c>
      <c r="G49" s="142">
        <f>36989-1.9</f>
        <v>36987.1</v>
      </c>
      <c r="H49" s="142">
        <v>36987.1</v>
      </c>
      <c r="I49" s="138">
        <f t="shared" si="1"/>
        <v>100</v>
      </c>
      <c r="J49" s="142">
        <f>K49+N49</f>
        <v>0</v>
      </c>
      <c r="K49" s="140"/>
      <c r="L49" s="140"/>
      <c r="M49" s="140"/>
      <c r="N49" s="115"/>
      <c r="O49" s="147"/>
      <c r="P49" s="139">
        <f t="shared" si="2"/>
        <v>36987.1</v>
      </c>
      <c r="Q49" s="158">
        <f t="shared" si="3"/>
        <v>36987.1</v>
      </c>
      <c r="R49" s="158">
        <f t="shared" si="4"/>
        <v>0</v>
      </c>
      <c r="S49" s="159">
        <f t="shared" si="5"/>
        <v>100</v>
      </c>
    </row>
    <row r="50" spans="3:19" s="16" customFormat="1" ht="36" customHeight="1">
      <c r="C50" s="33"/>
      <c r="D50" s="33"/>
      <c r="E50" s="33"/>
      <c r="F50" s="35" t="s">
        <v>499</v>
      </c>
      <c r="G50" s="142">
        <v>39333</v>
      </c>
      <c r="H50" s="142">
        <f>39527.8-272.4-0.1</f>
        <v>39255.3</v>
      </c>
      <c r="I50" s="138">
        <f t="shared" si="1"/>
        <v>99.80245595301656</v>
      </c>
      <c r="J50" s="138">
        <f>3119.5+258.6+249.1-82.8+0.1</f>
        <v>3544.4999999999995</v>
      </c>
      <c r="K50" s="140">
        <f>3020.10205+59.24204</f>
        <v>3079.34409</v>
      </c>
      <c r="L50" s="141">
        <f>2897.4+258.6+248.6-82.8+0.1</f>
        <v>3321.8999999999996</v>
      </c>
      <c r="M50" s="141">
        <f>248.6-82.8+0.1</f>
        <v>165.9</v>
      </c>
      <c r="N50" s="115">
        <v>100</v>
      </c>
      <c r="O50" s="147">
        <f t="shared" si="6"/>
        <v>93.71984765129073</v>
      </c>
      <c r="P50" s="139">
        <f t="shared" si="2"/>
        <v>42877.5</v>
      </c>
      <c r="Q50" s="158">
        <f t="shared" si="3"/>
        <v>42577.200000000004</v>
      </c>
      <c r="R50" s="158">
        <f t="shared" si="4"/>
        <v>-300.29999999999563</v>
      </c>
      <c r="S50" s="159">
        <f t="shared" si="5"/>
        <v>99.29963267447962</v>
      </c>
    </row>
    <row r="51" spans="3:19" s="16" customFormat="1" ht="45.75" customHeight="1">
      <c r="C51" s="33"/>
      <c r="D51" s="33"/>
      <c r="E51" s="33"/>
      <c r="F51" s="35" t="s">
        <v>583</v>
      </c>
      <c r="G51" s="142">
        <v>1.9</v>
      </c>
      <c r="H51" s="142">
        <v>1.9</v>
      </c>
      <c r="I51" s="138">
        <f t="shared" si="1"/>
        <v>100</v>
      </c>
      <c r="J51" s="138">
        <f>K51+N51</f>
        <v>0</v>
      </c>
      <c r="K51" s="140"/>
      <c r="L51" s="140"/>
      <c r="M51" s="140"/>
      <c r="N51" s="49"/>
      <c r="O51" s="147"/>
      <c r="P51" s="139">
        <f t="shared" si="2"/>
        <v>1.9</v>
      </c>
      <c r="Q51" s="158">
        <f t="shared" si="3"/>
        <v>1.9</v>
      </c>
      <c r="R51" s="158">
        <f t="shared" si="4"/>
        <v>0</v>
      </c>
      <c r="S51" s="159">
        <f t="shared" si="5"/>
        <v>100</v>
      </c>
    </row>
    <row r="52" spans="3:19" s="16" customFormat="1" ht="62.25" customHeight="1">
      <c r="C52" s="33"/>
      <c r="D52" s="33"/>
      <c r="E52" s="33"/>
      <c r="F52" s="35" t="s">
        <v>600</v>
      </c>
      <c r="G52" s="142"/>
      <c r="H52" s="142"/>
      <c r="I52" s="138"/>
      <c r="J52" s="138">
        <v>102.8</v>
      </c>
      <c r="K52" s="140"/>
      <c r="L52" s="140">
        <v>102.8</v>
      </c>
      <c r="M52" s="140">
        <v>102.8</v>
      </c>
      <c r="N52" s="115"/>
      <c r="O52" s="147">
        <f t="shared" si="6"/>
        <v>100</v>
      </c>
      <c r="P52" s="139">
        <f t="shared" si="2"/>
        <v>102.8</v>
      </c>
      <c r="Q52" s="158">
        <f t="shared" si="3"/>
        <v>102.8</v>
      </c>
      <c r="R52" s="158">
        <f t="shared" si="4"/>
        <v>0</v>
      </c>
      <c r="S52" s="159">
        <f t="shared" si="5"/>
        <v>100</v>
      </c>
    </row>
    <row r="53" spans="3:19" s="16" customFormat="1" ht="93.75">
      <c r="C53" s="33"/>
      <c r="D53" s="33"/>
      <c r="E53" s="33"/>
      <c r="F53" s="35" t="s">
        <v>601</v>
      </c>
      <c r="G53" s="142"/>
      <c r="H53" s="142"/>
      <c r="I53" s="138"/>
      <c r="J53" s="138">
        <v>82.8</v>
      </c>
      <c r="K53" s="140"/>
      <c r="L53" s="140">
        <v>82.8</v>
      </c>
      <c r="M53" s="140">
        <v>82.8</v>
      </c>
      <c r="N53" s="115"/>
      <c r="O53" s="147">
        <f t="shared" si="6"/>
        <v>100</v>
      </c>
      <c r="P53" s="139">
        <f t="shared" si="2"/>
        <v>82.8</v>
      </c>
      <c r="Q53" s="158">
        <f>H53+L53</f>
        <v>82.8</v>
      </c>
      <c r="R53" s="158">
        <f>Q53-P53</f>
        <v>0</v>
      </c>
      <c r="S53" s="159">
        <f>Q53/P53*100</f>
        <v>100</v>
      </c>
    </row>
    <row r="54" spans="3:19" s="16" customFormat="1" ht="75">
      <c r="C54" s="33"/>
      <c r="D54" s="33"/>
      <c r="E54" s="33"/>
      <c r="F54" s="35" t="s">
        <v>602</v>
      </c>
      <c r="G54" s="142">
        <v>242.2</v>
      </c>
      <c r="H54" s="142">
        <v>118.3</v>
      </c>
      <c r="I54" s="138">
        <f t="shared" si="1"/>
        <v>48.84393063583815</v>
      </c>
      <c r="J54" s="138">
        <f>K54+N54</f>
        <v>0</v>
      </c>
      <c r="K54" s="140"/>
      <c r="L54" s="140"/>
      <c r="M54" s="140"/>
      <c r="N54" s="115"/>
      <c r="O54" s="147"/>
      <c r="P54" s="139">
        <f t="shared" si="2"/>
        <v>242.2</v>
      </c>
      <c r="Q54" s="158">
        <f t="shared" si="3"/>
        <v>118.3</v>
      </c>
      <c r="R54" s="158">
        <f t="shared" si="4"/>
        <v>-123.89999999999999</v>
      </c>
      <c r="S54" s="159">
        <f t="shared" si="5"/>
        <v>48.84393063583815</v>
      </c>
    </row>
    <row r="55" spans="3:19" s="16" customFormat="1" ht="75">
      <c r="C55" s="33"/>
      <c r="D55" s="33"/>
      <c r="E55" s="33"/>
      <c r="F55" s="35" t="s">
        <v>603</v>
      </c>
      <c r="G55" s="142">
        <v>677.5</v>
      </c>
      <c r="H55" s="142">
        <v>666</v>
      </c>
      <c r="I55" s="138">
        <f t="shared" si="1"/>
        <v>98.30258302583026</v>
      </c>
      <c r="J55" s="142">
        <f>K55+N55</f>
        <v>0</v>
      </c>
      <c r="K55" s="140"/>
      <c r="L55" s="140"/>
      <c r="M55" s="140"/>
      <c r="N55" s="115"/>
      <c r="O55" s="147"/>
      <c r="P55" s="139">
        <f t="shared" si="2"/>
        <v>677.5</v>
      </c>
      <c r="Q55" s="158">
        <f t="shared" si="3"/>
        <v>666</v>
      </c>
      <c r="R55" s="158">
        <f t="shared" si="4"/>
        <v>-11.5</v>
      </c>
      <c r="S55" s="159">
        <f t="shared" si="5"/>
        <v>98.30258302583026</v>
      </c>
    </row>
    <row r="56" spans="3:19" s="16" customFormat="1" ht="75">
      <c r="C56" s="33"/>
      <c r="D56" s="33"/>
      <c r="E56" s="33"/>
      <c r="F56" s="35" t="s">
        <v>604</v>
      </c>
      <c r="G56" s="142">
        <v>272.4</v>
      </c>
      <c r="H56" s="142">
        <v>272.4</v>
      </c>
      <c r="I56" s="138">
        <f t="shared" si="1"/>
        <v>100</v>
      </c>
      <c r="J56" s="142"/>
      <c r="K56" s="140"/>
      <c r="L56" s="140"/>
      <c r="M56" s="140"/>
      <c r="N56" s="115"/>
      <c r="O56" s="147"/>
      <c r="P56" s="139">
        <f>G56+J56</f>
        <v>272.4</v>
      </c>
      <c r="Q56" s="158">
        <f>H56+L56</f>
        <v>272.4</v>
      </c>
      <c r="R56" s="158">
        <f>Q56-P56</f>
        <v>0</v>
      </c>
      <c r="S56" s="159">
        <f>Q56/P56*100</f>
        <v>100</v>
      </c>
    </row>
    <row r="57" spans="3:19" s="16" customFormat="1" ht="42.75" customHeight="1">
      <c r="C57" s="33"/>
      <c r="D57" s="33"/>
      <c r="E57" s="33"/>
      <c r="F57" s="35" t="s">
        <v>573</v>
      </c>
      <c r="G57" s="142">
        <v>123.3</v>
      </c>
      <c r="H57" s="142">
        <v>121.8</v>
      </c>
      <c r="I57" s="138">
        <f t="shared" si="1"/>
        <v>98.78345498783455</v>
      </c>
      <c r="J57" s="138">
        <v>95.7</v>
      </c>
      <c r="K57" s="141"/>
      <c r="L57" s="141">
        <v>95.7</v>
      </c>
      <c r="M57" s="141">
        <v>95.7</v>
      </c>
      <c r="N57" s="32">
        <v>24.0475</v>
      </c>
      <c r="O57" s="147">
        <f t="shared" si="6"/>
        <v>100</v>
      </c>
      <c r="P57" s="139">
        <f t="shared" si="2"/>
        <v>219</v>
      </c>
      <c r="Q57" s="158">
        <f t="shared" si="3"/>
        <v>217.5</v>
      </c>
      <c r="R57" s="158">
        <f t="shared" si="4"/>
        <v>-1.5</v>
      </c>
      <c r="S57" s="159">
        <f t="shared" si="5"/>
        <v>99.31506849315068</v>
      </c>
    </row>
    <row r="58" spans="3:19" s="16" customFormat="1" ht="34.5" customHeight="1" hidden="1">
      <c r="C58" s="33"/>
      <c r="D58" s="33"/>
      <c r="E58" s="33"/>
      <c r="F58" s="35" t="s">
        <v>24</v>
      </c>
      <c r="G58" s="142"/>
      <c r="H58" s="142"/>
      <c r="I58" s="138" t="e">
        <f t="shared" si="1"/>
        <v>#DIV/0!</v>
      </c>
      <c r="J58" s="138">
        <f>K58+N58</f>
        <v>0</v>
      </c>
      <c r="K58" s="140"/>
      <c r="L58" s="140"/>
      <c r="M58" s="140"/>
      <c r="N58" s="115"/>
      <c r="O58" s="147" t="e">
        <f t="shared" si="6"/>
        <v>#DIV/0!</v>
      </c>
      <c r="P58" s="139">
        <f t="shared" si="2"/>
        <v>0</v>
      </c>
      <c r="Q58" s="158">
        <f t="shared" si="3"/>
        <v>0</v>
      </c>
      <c r="R58" s="158">
        <f t="shared" si="4"/>
        <v>0</v>
      </c>
      <c r="S58" s="159" t="e">
        <f t="shared" si="5"/>
        <v>#DIV/0!</v>
      </c>
    </row>
    <row r="59" spans="1:19" s="6" customFormat="1" ht="49.5" customHeight="1">
      <c r="A59" s="6">
        <v>3</v>
      </c>
      <c r="B59" s="6">
        <v>10</v>
      </c>
      <c r="C59" s="4" t="s">
        <v>213</v>
      </c>
      <c r="D59" s="4" t="s">
        <v>69</v>
      </c>
      <c r="E59" s="4" t="s">
        <v>70</v>
      </c>
      <c r="F59" s="41" t="s">
        <v>6</v>
      </c>
      <c r="G59" s="179">
        <v>6821.9</v>
      </c>
      <c r="H59" s="138">
        <v>6802.8</v>
      </c>
      <c r="I59" s="138">
        <f t="shared" si="1"/>
        <v>99.72001934944811</v>
      </c>
      <c r="J59" s="138">
        <f>25.7+33.3+100</f>
        <v>159</v>
      </c>
      <c r="K59" s="141">
        <f>16.225+29.92</f>
        <v>46.145</v>
      </c>
      <c r="L59" s="141">
        <f>19.5+33.3+100</f>
        <v>152.8</v>
      </c>
      <c r="M59" s="141">
        <v>100</v>
      </c>
      <c r="N59" s="119"/>
      <c r="O59" s="147">
        <f t="shared" si="6"/>
        <v>96.10062893081762</v>
      </c>
      <c r="P59" s="139">
        <f t="shared" si="2"/>
        <v>6980.9</v>
      </c>
      <c r="Q59" s="158">
        <f t="shared" si="3"/>
        <v>6955.6</v>
      </c>
      <c r="R59" s="158">
        <f t="shared" si="4"/>
        <v>-25.299999999999272</v>
      </c>
      <c r="S59" s="159">
        <f t="shared" si="5"/>
        <v>99.63758254666305</v>
      </c>
    </row>
    <row r="60" spans="1:19" s="6" customFormat="1" ht="34.5" customHeight="1">
      <c r="A60" s="6">
        <v>4</v>
      </c>
      <c r="B60" s="6">
        <v>11</v>
      </c>
      <c r="C60" s="30" t="s">
        <v>216</v>
      </c>
      <c r="D60" s="30" t="s">
        <v>215</v>
      </c>
      <c r="E60" s="30" t="s">
        <v>71</v>
      </c>
      <c r="F60" s="41" t="s">
        <v>214</v>
      </c>
      <c r="G60" s="138">
        <f>G61+G62</f>
        <v>1519.5</v>
      </c>
      <c r="H60" s="138">
        <f aca="true" t="shared" si="13" ref="H60:M60">H61+H62</f>
        <v>1508.9</v>
      </c>
      <c r="I60" s="138">
        <f>H60/G60*100</f>
        <v>99.3024021059559</v>
      </c>
      <c r="J60" s="138">
        <f t="shared" si="13"/>
        <v>179.7</v>
      </c>
      <c r="K60" s="138">
        <f t="shared" si="13"/>
        <v>0</v>
      </c>
      <c r="L60" s="138">
        <f t="shared" si="13"/>
        <v>179.7</v>
      </c>
      <c r="M60" s="138">
        <f t="shared" si="13"/>
        <v>179.7</v>
      </c>
      <c r="N60" s="119"/>
      <c r="O60" s="147">
        <f t="shared" si="6"/>
        <v>100</v>
      </c>
      <c r="P60" s="139">
        <f t="shared" si="2"/>
        <v>1699.2</v>
      </c>
      <c r="Q60" s="158">
        <f t="shared" si="3"/>
        <v>1688.6000000000001</v>
      </c>
      <c r="R60" s="158">
        <f t="shared" si="4"/>
        <v>-10.599999999999909</v>
      </c>
      <c r="S60" s="159">
        <f t="shared" si="5"/>
        <v>99.37617702448212</v>
      </c>
    </row>
    <row r="61" spans="3:19" s="6" customFormat="1" ht="34.5" customHeight="1">
      <c r="C61" s="30"/>
      <c r="D61" s="30"/>
      <c r="E61" s="30"/>
      <c r="F61" s="35" t="s">
        <v>605</v>
      </c>
      <c r="G61" s="138">
        <v>1519.5</v>
      </c>
      <c r="H61" s="138">
        <v>1508.9</v>
      </c>
      <c r="I61" s="138">
        <f t="shared" si="1"/>
        <v>99.3024021059559</v>
      </c>
      <c r="J61" s="138">
        <v>16.7</v>
      </c>
      <c r="K61" s="141"/>
      <c r="L61" s="141">
        <v>16.7</v>
      </c>
      <c r="M61" s="141">
        <v>16.7</v>
      </c>
      <c r="N61" s="119"/>
      <c r="O61" s="147">
        <f t="shared" si="6"/>
        <v>100</v>
      </c>
      <c r="P61" s="139">
        <f>G61+J61</f>
        <v>1536.2</v>
      </c>
      <c r="Q61" s="158">
        <f>H61+L61</f>
        <v>1525.6000000000001</v>
      </c>
      <c r="R61" s="158">
        <f>Q61-P61</f>
        <v>-10.599999999999909</v>
      </c>
      <c r="S61" s="159">
        <f>Q61/P61*100</f>
        <v>99.30998567894807</v>
      </c>
    </row>
    <row r="62" spans="3:19" s="6" customFormat="1" ht="34.5" customHeight="1">
      <c r="C62" s="30"/>
      <c r="D62" s="30"/>
      <c r="E62" s="30"/>
      <c r="F62" s="35" t="s">
        <v>606</v>
      </c>
      <c r="G62" s="138"/>
      <c r="H62" s="138"/>
      <c r="I62" s="138"/>
      <c r="J62" s="138">
        <v>163</v>
      </c>
      <c r="K62" s="141"/>
      <c r="L62" s="141">
        <v>163</v>
      </c>
      <c r="M62" s="141">
        <v>163</v>
      </c>
      <c r="N62" s="119"/>
      <c r="O62" s="147">
        <f t="shared" si="6"/>
        <v>100</v>
      </c>
      <c r="P62" s="139">
        <f>G62+J62</f>
        <v>163</v>
      </c>
      <c r="Q62" s="158">
        <f>H62+L62</f>
        <v>163</v>
      </c>
      <c r="R62" s="158">
        <f>Q62-P62</f>
        <v>0</v>
      </c>
      <c r="S62" s="159">
        <f>Q62/P62*100</f>
        <v>100</v>
      </c>
    </row>
    <row r="63" spans="3:19" s="37" customFormat="1" ht="44.25" customHeight="1">
      <c r="C63" s="30" t="s">
        <v>402</v>
      </c>
      <c r="D63" s="30" t="s">
        <v>403</v>
      </c>
      <c r="E63" s="30" t="s">
        <v>71</v>
      </c>
      <c r="F63" s="35" t="s">
        <v>577</v>
      </c>
      <c r="G63" s="145">
        <f>SUM(G64:G66)</f>
        <v>6447.4</v>
      </c>
      <c r="H63" s="145">
        <f aca="true" t="shared" si="14" ref="H63:N63">SUM(H64:H66)</f>
        <v>6409.599999999999</v>
      </c>
      <c r="I63" s="138">
        <f t="shared" si="1"/>
        <v>99.41371715730372</v>
      </c>
      <c r="J63" s="145">
        <f t="shared" si="14"/>
        <v>28.099999999999998</v>
      </c>
      <c r="K63" s="145">
        <f t="shared" si="14"/>
        <v>18.381</v>
      </c>
      <c r="L63" s="145">
        <f t="shared" si="14"/>
        <v>27.7</v>
      </c>
      <c r="M63" s="145">
        <f t="shared" si="14"/>
        <v>0</v>
      </c>
      <c r="N63" s="120">
        <f t="shared" si="14"/>
        <v>0</v>
      </c>
      <c r="O63" s="147">
        <f t="shared" si="6"/>
        <v>98.57651245551602</v>
      </c>
      <c r="P63" s="139">
        <f t="shared" si="2"/>
        <v>6475.5</v>
      </c>
      <c r="Q63" s="158">
        <f t="shared" si="3"/>
        <v>6437.299999999999</v>
      </c>
      <c r="R63" s="158">
        <f t="shared" si="4"/>
        <v>-38.20000000000073</v>
      </c>
      <c r="S63" s="159">
        <f t="shared" si="5"/>
        <v>99.41008416338506</v>
      </c>
    </row>
    <row r="64" spans="3:19" s="37" customFormat="1" ht="30" customHeight="1">
      <c r="C64" s="30"/>
      <c r="D64" s="30"/>
      <c r="E64" s="30"/>
      <c r="F64" s="35" t="s">
        <v>575</v>
      </c>
      <c r="G64" s="145">
        <v>2447.6</v>
      </c>
      <c r="H64" s="142">
        <v>2445.2</v>
      </c>
      <c r="I64" s="138">
        <f t="shared" si="1"/>
        <v>99.90194476221605</v>
      </c>
      <c r="J64" s="142">
        <v>0.4</v>
      </c>
      <c r="K64" s="140"/>
      <c r="L64" s="140">
        <v>0.4</v>
      </c>
      <c r="M64" s="140"/>
      <c r="N64" s="115"/>
      <c r="O64" s="147">
        <f t="shared" si="6"/>
        <v>100</v>
      </c>
      <c r="P64" s="139">
        <f t="shared" si="2"/>
        <v>2448</v>
      </c>
      <c r="Q64" s="158">
        <f t="shared" si="3"/>
        <v>2445.6</v>
      </c>
      <c r="R64" s="158">
        <f t="shared" si="4"/>
        <v>-2.400000000000091</v>
      </c>
      <c r="S64" s="159">
        <f t="shared" si="5"/>
        <v>99.90196078431373</v>
      </c>
    </row>
    <row r="65" spans="1:19" s="37" customFormat="1" ht="33" customHeight="1">
      <c r="A65" s="37">
        <v>6</v>
      </c>
      <c r="B65" s="37">
        <v>13</v>
      </c>
      <c r="C65" s="30"/>
      <c r="D65" s="30"/>
      <c r="E65" s="30"/>
      <c r="F65" s="35" t="s">
        <v>576</v>
      </c>
      <c r="G65" s="145">
        <v>2036.7</v>
      </c>
      <c r="H65" s="142">
        <v>2021.7</v>
      </c>
      <c r="I65" s="138">
        <f t="shared" si="1"/>
        <v>99.26351450876417</v>
      </c>
      <c r="J65" s="142">
        <v>0</v>
      </c>
      <c r="K65" s="140">
        <f>0.438+2.943+15</f>
        <v>18.381</v>
      </c>
      <c r="L65" s="140">
        <v>0</v>
      </c>
      <c r="M65" s="140"/>
      <c r="N65" s="118"/>
      <c r="O65" s="147"/>
      <c r="P65" s="139">
        <f t="shared" si="2"/>
        <v>2036.7</v>
      </c>
      <c r="Q65" s="158">
        <f t="shared" si="3"/>
        <v>2021.7</v>
      </c>
      <c r="R65" s="158">
        <f t="shared" si="4"/>
        <v>-15</v>
      </c>
      <c r="S65" s="159">
        <f t="shared" si="5"/>
        <v>99.26351450876417</v>
      </c>
    </row>
    <row r="66" spans="3:19" s="37" customFormat="1" ht="42.75" customHeight="1">
      <c r="C66" s="30"/>
      <c r="D66" s="30"/>
      <c r="E66" s="30"/>
      <c r="F66" s="35" t="s">
        <v>611</v>
      </c>
      <c r="G66" s="145">
        <v>1963.1</v>
      </c>
      <c r="H66" s="142">
        <v>1942.7</v>
      </c>
      <c r="I66" s="138">
        <f t="shared" si="1"/>
        <v>98.9608272630024</v>
      </c>
      <c r="J66" s="142">
        <f>15+12.7</f>
        <v>27.7</v>
      </c>
      <c r="K66" s="140"/>
      <c r="L66" s="140">
        <f>12.7+15-0.4</f>
        <v>27.3</v>
      </c>
      <c r="M66" s="140"/>
      <c r="N66" s="118"/>
      <c r="O66" s="147">
        <f t="shared" si="6"/>
        <v>98.55595667870037</v>
      </c>
      <c r="P66" s="139">
        <f t="shared" si="2"/>
        <v>1990.8</v>
      </c>
      <c r="Q66" s="158">
        <f t="shared" si="3"/>
        <v>1970</v>
      </c>
      <c r="R66" s="158">
        <f t="shared" si="4"/>
        <v>-20.799999999999955</v>
      </c>
      <c r="S66" s="159">
        <f t="shared" si="5"/>
        <v>98.95519389190277</v>
      </c>
    </row>
    <row r="67" spans="1:19" s="37" customFormat="1" ht="23.25" customHeight="1">
      <c r="A67" s="37">
        <v>7</v>
      </c>
      <c r="B67" s="37">
        <v>14</v>
      </c>
      <c r="C67" s="30" t="s">
        <v>404</v>
      </c>
      <c r="D67" s="30" t="s">
        <v>405</v>
      </c>
      <c r="E67" s="30" t="s">
        <v>71</v>
      </c>
      <c r="F67" s="35" t="s">
        <v>406</v>
      </c>
      <c r="G67" s="145">
        <f>SUM(G68:G69)</f>
        <v>196.5</v>
      </c>
      <c r="H67" s="145">
        <f>SUM(H68:H69)</f>
        <v>195.5</v>
      </c>
      <c r="I67" s="138">
        <f t="shared" si="1"/>
        <v>99.49109414758269</v>
      </c>
      <c r="J67" s="145">
        <f>SUM(J68:J69)</f>
        <v>78.9</v>
      </c>
      <c r="K67" s="145">
        <f>SUM(K68:K69)</f>
        <v>0</v>
      </c>
      <c r="L67" s="145">
        <f>SUM(L68:L69)</f>
        <v>78.9</v>
      </c>
      <c r="M67" s="145">
        <f>SUM(M68:M69)</f>
        <v>78.9</v>
      </c>
      <c r="N67" s="120">
        <f>N69</f>
        <v>100</v>
      </c>
      <c r="O67" s="147">
        <f t="shared" si="6"/>
        <v>100</v>
      </c>
      <c r="P67" s="139">
        <f t="shared" si="2"/>
        <v>275.4</v>
      </c>
      <c r="Q67" s="158">
        <f t="shared" si="3"/>
        <v>274.4</v>
      </c>
      <c r="R67" s="158">
        <f t="shared" si="4"/>
        <v>-1</v>
      </c>
      <c r="S67" s="159">
        <f t="shared" si="5"/>
        <v>99.63689179375453</v>
      </c>
    </row>
    <row r="68" spans="3:19" s="37" customFormat="1" ht="60" customHeight="1">
      <c r="C68" s="33"/>
      <c r="D68" s="33"/>
      <c r="E68" s="33"/>
      <c r="F68" s="35" t="s">
        <v>485</v>
      </c>
      <c r="G68" s="145">
        <v>10.9</v>
      </c>
      <c r="H68" s="145">
        <v>10.9</v>
      </c>
      <c r="I68" s="138">
        <f t="shared" si="1"/>
        <v>100</v>
      </c>
      <c r="J68" s="142">
        <f aca="true" t="shared" si="15" ref="J68:J75">K68+N68</f>
        <v>0</v>
      </c>
      <c r="K68" s="145"/>
      <c r="L68" s="145"/>
      <c r="M68" s="145"/>
      <c r="N68" s="120"/>
      <c r="O68" s="147"/>
      <c r="P68" s="139">
        <f t="shared" si="2"/>
        <v>10.9</v>
      </c>
      <c r="Q68" s="158">
        <f t="shared" si="3"/>
        <v>10.9</v>
      </c>
      <c r="R68" s="158">
        <f t="shared" si="4"/>
        <v>0</v>
      </c>
      <c r="S68" s="159">
        <f t="shared" si="5"/>
        <v>100</v>
      </c>
    </row>
    <row r="69" spans="1:19" s="37" customFormat="1" ht="45.75" customHeight="1">
      <c r="A69" s="37">
        <v>8</v>
      </c>
      <c r="B69" s="37">
        <v>15</v>
      </c>
      <c r="C69" s="34"/>
      <c r="D69" s="34"/>
      <c r="E69" s="34"/>
      <c r="F69" s="35" t="s">
        <v>217</v>
      </c>
      <c r="G69" s="142">
        <v>185.6</v>
      </c>
      <c r="H69" s="142">
        <v>184.6</v>
      </c>
      <c r="I69" s="138">
        <f t="shared" si="1"/>
        <v>99.46120689655173</v>
      </c>
      <c r="J69" s="142">
        <v>78.9</v>
      </c>
      <c r="K69" s="142"/>
      <c r="L69" s="142">
        <v>78.9</v>
      </c>
      <c r="M69" s="142">
        <v>78.9</v>
      </c>
      <c r="N69" s="113">
        <v>100</v>
      </c>
      <c r="O69" s="147">
        <f t="shared" si="6"/>
        <v>100</v>
      </c>
      <c r="P69" s="139">
        <f t="shared" si="2"/>
        <v>264.5</v>
      </c>
      <c r="Q69" s="158">
        <f t="shared" si="3"/>
        <v>263.5</v>
      </c>
      <c r="R69" s="158">
        <f t="shared" si="4"/>
        <v>-1</v>
      </c>
      <c r="S69" s="159">
        <f t="shared" si="5"/>
        <v>99.62192816635161</v>
      </c>
    </row>
    <row r="70" spans="3:19" s="46" customFormat="1" ht="45" customHeight="1" hidden="1">
      <c r="C70" s="92" t="s">
        <v>353</v>
      </c>
      <c r="D70" s="92" t="s">
        <v>315</v>
      </c>
      <c r="E70" s="92"/>
      <c r="F70" s="44" t="s">
        <v>316</v>
      </c>
      <c r="G70" s="139">
        <f>G71</f>
        <v>0</v>
      </c>
      <c r="H70" s="139">
        <f aca="true" t="shared" si="16" ref="H70:N70">H71</f>
        <v>0</v>
      </c>
      <c r="I70" s="138" t="e">
        <f t="shared" si="1"/>
        <v>#DIV/0!</v>
      </c>
      <c r="J70" s="139">
        <f t="shared" si="15"/>
        <v>0</v>
      </c>
      <c r="K70" s="139">
        <f t="shared" si="16"/>
        <v>0</v>
      </c>
      <c r="L70" s="139">
        <f t="shared" si="16"/>
        <v>0</v>
      </c>
      <c r="M70" s="139">
        <f t="shared" si="16"/>
        <v>0</v>
      </c>
      <c r="N70" s="114">
        <f t="shared" si="16"/>
        <v>0</v>
      </c>
      <c r="O70" s="147" t="e">
        <f t="shared" si="6"/>
        <v>#DIV/0!</v>
      </c>
      <c r="P70" s="139">
        <f aca="true" t="shared" si="17" ref="P70:P82">G70+J70</f>
        <v>0</v>
      </c>
      <c r="Q70" s="158">
        <f aca="true" t="shared" si="18" ref="Q70:Q82">H70+L70</f>
        <v>0</v>
      </c>
      <c r="R70" s="158">
        <f aca="true" t="shared" si="19" ref="R70:R82">Q70-P70</f>
        <v>0</v>
      </c>
      <c r="S70" s="159" t="e">
        <f aca="true" t="shared" si="20" ref="S70:S82">Q70/P70*100</f>
        <v>#DIV/0!</v>
      </c>
    </row>
    <row r="71" spans="3:19" s="6" customFormat="1" ht="34.5" customHeight="1" hidden="1">
      <c r="C71" s="30" t="s">
        <v>435</v>
      </c>
      <c r="D71" s="30" t="s">
        <v>433</v>
      </c>
      <c r="E71" s="30" t="s">
        <v>94</v>
      </c>
      <c r="F71" s="40" t="s">
        <v>218</v>
      </c>
      <c r="G71" s="138">
        <f>G72</f>
        <v>0</v>
      </c>
      <c r="H71" s="180"/>
      <c r="I71" s="138" t="e">
        <f t="shared" si="1"/>
        <v>#DIV/0!</v>
      </c>
      <c r="J71" s="138">
        <f t="shared" si="15"/>
        <v>0</v>
      </c>
      <c r="K71" s="138">
        <f>K72</f>
        <v>0</v>
      </c>
      <c r="L71" s="138">
        <f>L72</f>
        <v>0</v>
      </c>
      <c r="M71" s="138">
        <f>M72</f>
        <v>0</v>
      </c>
      <c r="N71" s="112">
        <f>N72</f>
        <v>0</v>
      </c>
      <c r="O71" s="147" t="e">
        <f t="shared" si="6"/>
        <v>#DIV/0!</v>
      </c>
      <c r="P71" s="139">
        <f t="shared" si="17"/>
        <v>0</v>
      </c>
      <c r="Q71" s="158">
        <f t="shared" si="18"/>
        <v>0</v>
      </c>
      <c r="R71" s="158">
        <f t="shared" si="19"/>
        <v>0</v>
      </c>
      <c r="S71" s="159" t="e">
        <f t="shared" si="20"/>
        <v>#DIV/0!</v>
      </c>
    </row>
    <row r="72" spans="3:19" s="37" customFormat="1" ht="59.25" customHeight="1" hidden="1">
      <c r="C72" s="33"/>
      <c r="D72" s="33"/>
      <c r="E72" s="33"/>
      <c r="F72" s="47" t="s">
        <v>219</v>
      </c>
      <c r="G72" s="142"/>
      <c r="H72" s="181"/>
      <c r="I72" s="138" t="e">
        <f t="shared" si="1"/>
        <v>#DIV/0!</v>
      </c>
      <c r="J72" s="142">
        <f t="shared" si="15"/>
        <v>0</v>
      </c>
      <c r="K72" s="153"/>
      <c r="L72" s="142"/>
      <c r="M72" s="142"/>
      <c r="N72" s="113"/>
      <c r="O72" s="147" t="e">
        <f t="shared" si="6"/>
        <v>#DIV/0!</v>
      </c>
      <c r="P72" s="139">
        <f t="shared" si="17"/>
        <v>0</v>
      </c>
      <c r="Q72" s="158">
        <f t="shared" si="18"/>
        <v>0</v>
      </c>
      <c r="R72" s="158">
        <f t="shared" si="19"/>
        <v>0</v>
      </c>
      <c r="S72" s="159" t="e">
        <f t="shared" si="20"/>
        <v>#DIV/0!</v>
      </c>
    </row>
    <row r="73" spans="3:19" s="46" customFormat="1" ht="36.75" customHeight="1" hidden="1">
      <c r="C73" s="92" t="s">
        <v>354</v>
      </c>
      <c r="D73" s="92" t="s">
        <v>343</v>
      </c>
      <c r="E73" s="92"/>
      <c r="F73" s="44" t="s">
        <v>379</v>
      </c>
      <c r="G73" s="139">
        <f>G74</f>
        <v>0</v>
      </c>
      <c r="H73" s="139">
        <f aca="true" t="shared" si="21" ref="H73:N73">H74</f>
        <v>0</v>
      </c>
      <c r="I73" s="138" t="e">
        <f t="shared" si="1"/>
        <v>#DIV/0!</v>
      </c>
      <c r="J73" s="139">
        <f t="shared" si="15"/>
        <v>0</v>
      </c>
      <c r="K73" s="139">
        <f t="shared" si="21"/>
        <v>0</v>
      </c>
      <c r="L73" s="139">
        <f t="shared" si="21"/>
        <v>0</v>
      </c>
      <c r="M73" s="139">
        <f t="shared" si="21"/>
        <v>0</v>
      </c>
      <c r="N73" s="114">
        <f t="shared" si="21"/>
        <v>0</v>
      </c>
      <c r="O73" s="147" t="e">
        <f t="shared" si="6"/>
        <v>#DIV/0!</v>
      </c>
      <c r="P73" s="139">
        <f t="shared" si="17"/>
        <v>0</v>
      </c>
      <c r="Q73" s="158">
        <f t="shared" si="18"/>
        <v>0</v>
      </c>
      <c r="R73" s="158">
        <f t="shared" si="19"/>
        <v>0</v>
      </c>
      <c r="S73" s="159" t="e">
        <f t="shared" si="20"/>
        <v>#DIV/0!</v>
      </c>
    </row>
    <row r="74" spans="3:19" s="6" customFormat="1" ht="38.25" customHeight="1" hidden="1">
      <c r="C74" s="30" t="s">
        <v>220</v>
      </c>
      <c r="D74" s="30" t="s">
        <v>221</v>
      </c>
      <c r="E74" s="30"/>
      <c r="F74" s="40" t="s">
        <v>222</v>
      </c>
      <c r="G74" s="138">
        <f>G75</f>
        <v>0</v>
      </c>
      <c r="H74" s="180"/>
      <c r="I74" s="138" t="e">
        <f t="shared" si="1"/>
        <v>#DIV/0!</v>
      </c>
      <c r="J74" s="138">
        <f t="shared" si="15"/>
        <v>0</v>
      </c>
      <c r="K74" s="138">
        <f>K75</f>
        <v>0</v>
      </c>
      <c r="L74" s="138">
        <f>L75</f>
        <v>0</v>
      </c>
      <c r="M74" s="138">
        <f>M75</f>
        <v>0</v>
      </c>
      <c r="N74" s="112">
        <f>N75</f>
        <v>0</v>
      </c>
      <c r="O74" s="147" t="e">
        <f t="shared" si="6"/>
        <v>#DIV/0!</v>
      </c>
      <c r="P74" s="139">
        <f t="shared" si="17"/>
        <v>0</v>
      </c>
      <c r="Q74" s="158">
        <f t="shared" si="18"/>
        <v>0</v>
      </c>
      <c r="R74" s="158">
        <f t="shared" si="19"/>
        <v>0</v>
      </c>
      <c r="S74" s="159" t="e">
        <f t="shared" si="20"/>
        <v>#DIV/0!</v>
      </c>
    </row>
    <row r="75" spans="2:19" s="37" customFormat="1" ht="27" customHeight="1" hidden="1">
      <c r="B75" s="37">
        <v>20</v>
      </c>
      <c r="C75" s="33" t="s">
        <v>439</v>
      </c>
      <c r="D75" s="33" t="s">
        <v>437</v>
      </c>
      <c r="E75" s="33" t="s">
        <v>62</v>
      </c>
      <c r="F75" s="42" t="s">
        <v>438</v>
      </c>
      <c r="G75" s="142"/>
      <c r="H75" s="142"/>
      <c r="I75" s="138" t="e">
        <f t="shared" si="1"/>
        <v>#DIV/0!</v>
      </c>
      <c r="J75" s="142">
        <f t="shared" si="15"/>
        <v>0</v>
      </c>
      <c r="K75" s="142"/>
      <c r="L75" s="142"/>
      <c r="M75" s="142"/>
      <c r="N75" s="113"/>
      <c r="O75" s="147" t="e">
        <f t="shared" si="6"/>
        <v>#DIV/0!</v>
      </c>
      <c r="P75" s="139">
        <f t="shared" si="17"/>
        <v>0</v>
      </c>
      <c r="Q75" s="158">
        <f t="shared" si="18"/>
        <v>0</v>
      </c>
      <c r="R75" s="158">
        <f t="shared" si="19"/>
        <v>0</v>
      </c>
      <c r="S75" s="159" t="e">
        <f t="shared" si="20"/>
        <v>#DIV/0!</v>
      </c>
    </row>
    <row r="76" spans="3:19" s="37" customFormat="1" ht="15.75" customHeight="1">
      <c r="C76" s="92"/>
      <c r="D76" s="92"/>
      <c r="E76" s="92"/>
      <c r="F76" s="44" t="s">
        <v>379</v>
      </c>
      <c r="G76" s="142">
        <f>G79</f>
        <v>0</v>
      </c>
      <c r="H76" s="142">
        <f>H79</f>
        <v>0</v>
      </c>
      <c r="I76" s="138"/>
      <c r="J76" s="142">
        <f>J79+J77</f>
        <v>287.5</v>
      </c>
      <c r="K76" s="142">
        <f>K79+K77</f>
        <v>0</v>
      </c>
      <c r="L76" s="142">
        <f>L79+L77</f>
        <v>287.5</v>
      </c>
      <c r="M76" s="142">
        <f>M79+M77</f>
        <v>276.5</v>
      </c>
      <c r="N76" s="113"/>
      <c r="O76" s="147">
        <f>L76/J76*100</f>
        <v>100</v>
      </c>
      <c r="P76" s="139">
        <f t="shared" si="17"/>
        <v>287.5</v>
      </c>
      <c r="Q76" s="158">
        <f t="shared" si="18"/>
        <v>287.5</v>
      </c>
      <c r="R76" s="158">
        <f t="shared" si="19"/>
        <v>0</v>
      </c>
      <c r="S76" s="159">
        <f t="shared" si="20"/>
        <v>100</v>
      </c>
    </row>
    <row r="77" spans="3:19" s="37" customFormat="1" ht="40.5">
      <c r="C77" s="4" t="s">
        <v>625</v>
      </c>
      <c r="D77" s="4" t="s">
        <v>626</v>
      </c>
      <c r="E77" s="4" t="s">
        <v>62</v>
      </c>
      <c r="F77" s="177" t="s">
        <v>627</v>
      </c>
      <c r="G77" s="142"/>
      <c r="H77" s="142"/>
      <c r="I77" s="138"/>
      <c r="J77" s="142">
        <f>J78</f>
        <v>276.5</v>
      </c>
      <c r="K77" s="142">
        <f>K78</f>
        <v>0</v>
      </c>
      <c r="L77" s="142">
        <f>L78</f>
        <v>276.5</v>
      </c>
      <c r="M77" s="142">
        <f>M78</f>
        <v>276.5</v>
      </c>
      <c r="N77" s="113"/>
      <c r="O77" s="147">
        <f>L77/J77*100</f>
        <v>100</v>
      </c>
      <c r="P77" s="139">
        <f>G77+J77</f>
        <v>276.5</v>
      </c>
      <c r="Q77" s="158">
        <f>H77+L77</f>
        <v>276.5</v>
      </c>
      <c r="R77" s="158">
        <f>Q77-P77</f>
        <v>0</v>
      </c>
      <c r="S77" s="159">
        <f>Q77/P77*100</f>
        <v>100</v>
      </c>
    </row>
    <row r="78" spans="3:19" s="37" customFormat="1" ht="20.25">
      <c r="C78" s="4"/>
      <c r="D78" s="4"/>
      <c r="E78" s="4"/>
      <c r="F78" s="178" t="s">
        <v>628</v>
      </c>
      <c r="G78" s="142"/>
      <c r="H78" s="142"/>
      <c r="I78" s="138"/>
      <c r="J78" s="142">
        <v>276.5</v>
      </c>
      <c r="K78" s="142"/>
      <c r="L78" s="142">
        <v>276.5</v>
      </c>
      <c r="M78" s="142">
        <v>276.5</v>
      </c>
      <c r="N78" s="113"/>
      <c r="O78" s="147">
        <f>L78/J78*100</f>
        <v>100</v>
      </c>
      <c r="P78" s="139">
        <f>G78+J78</f>
        <v>276.5</v>
      </c>
      <c r="Q78" s="158">
        <f>H78+L78</f>
        <v>276.5</v>
      </c>
      <c r="R78" s="158">
        <f>Q78-P78</f>
        <v>0</v>
      </c>
      <c r="S78" s="159">
        <f>Q78/P78*100</f>
        <v>100</v>
      </c>
    </row>
    <row r="79" spans="3:19" s="37" customFormat="1" ht="117" customHeight="1">
      <c r="C79" s="33" t="s">
        <v>439</v>
      </c>
      <c r="D79" s="33" t="s">
        <v>437</v>
      </c>
      <c r="E79" s="33" t="s">
        <v>62</v>
      </c>
      <c r="F79" s="42" t="s">
        <v>438</v>
      </c>
      <c r="G79" s="142"/>
      <c r="H79" s="142"/>
      <c r="I79" s="138"/>
      <c r="J79" s="142">
        <v>11</v>
      </c>
      <c r="K79" s="142"/>
      <c r="L79" s="142">
        <v>11</v>
      </c>
      <c r="M79" s="142"/>
      <c r="N79" s="113"/>
      <c r="O79" s="147">
        <f>L79/J79*100</f>
        <v>100</v>
      </c>
      <c r="P79" s="139">
        <f t="shared" si="17"/>
        <v>11</v>
      </c>
      <c r="Q79" s="158">
        <f t="shared" si="18"/>
        <v>11</v>
      </c>
      <c r="R79" s="158">
        <f t="shared" si="19"/>
        <v>0</v>
      </c>
      <c r="S79" s="159">
        <f t="shared" si="20"/>
        <v>100</v>
      </c>
    </row>
    <row r="80" spans="3:19" s="37" customFormat="1" ht="18.75">
      <c r="C80" s="28"/>
      <c r="D80" s="28"/>
      <c r="E80" s="33"/>
      <c r="F80" s="162" t="s">
        <v>347</v>
      </c>
      <c r="G80" s="142">
        <f>G81</f>
        <v>17.4</v>
      </c>
      <c r="H80" s="142">
        <f>H81</f>
        <v>17.4</v>
      </c>
      <c r="I80" s="138"/>
      <c r="J80" s="142"/>
      <c r="K80" s="142"/>
      <c r="L80" s="142"/>
      <c r="M80" s="142"/>
      <c r="N80" s="113"/>
      <c r="O80" s="147"/>
      <c r="P80" s="139">
        <f t="shared" si="17"/>
        <v>17.4</v>
      </c>
      <c r="Q80" s="158">
        <f t="shared" si="18"/>
        <v>17.4</v>
      </c>
      <c r="R80" s="158">
        <f t="shared" si="19"/>
        <v>0</v>
      </c>
      <c r="S80" s="159">
        <f t="shared" si="20"/>
        <v>100</v>
      </c>
    </row>
    <row r="81" spans="3:19" s="37" customFormat="1" ht="18.75">
      <c r="C81" s="4" t="s">
        <v>607</v>
      </c>
      <c r="D81" s="4" t="s">
        <v>279</v>
      </c>
      <c r="E81" s="4" t="s">
        <v>59</v>
      </c>
      <c r="F81" s="163" t="s">
        <v>608</v>
      </c>
      <c r="G81" s="142">
        <f>G82</f>
        <v>17.4</v>
      </c>
      <c r="H81" s="142">
        <f>H82</f>
        <v>17.4</v>
      </c>
      <c r="I81" s="138"/>
      <c r="J81" s="142"/>
      <c r="K81" s="142"/>
      <c r="L81" s="142"/>
      <c r="M81" s="142"/>
      <c r="N81" s="113"/>
      <c r="O81" s="147"/>
      <c r="P81" s="139">
        <f t="shared" si="17"/>
        <v>17.4</v>
      </c>
      <c r="Q81" s="158">
        <f t="shared" si="18"/>
        <v>17.4</v>
      </c>
      <c r="R81" s="158">
        <f t="shared" si="19"/>
        <v>0</v>
      </c>
      <c r="S81" s="159">
        <f t="shared" si="20"/>
        <v>100</v>
      </c>
    </row>
    <row r="82" spans="3:19" s="37" customFormat="1" ht="75">
      <c r="C82" s="34"/>
      <c r="D82" s="34"/>
      <c r="E82" s="34"/>
      <c r="F82" s="35" t="s">
        <v>609</v>
      </c>
      <c r="G82" s="142">
        <v>17.4</v>
      </c>
      <c r="H82" s="142">
        <v>17.4</v>
      </c>
      <c r="I82" s="138"/>
      <c r="J82" s="142"/>
      <c r="K82" s="142"/>
      <c r="L82" s="142"/>
      <c r="M82" s="142"/>
      <c r="N82" s="113"/>
      <c r="O82" s="147"/>
      <c r="P82" s="139">
        <f t="shared" si="17"/>
        <v>17.4</v>
      </c>
      <c r="Q82" s="158">
        <f t="shared" si="18"/>
        <v>17.4</v>
      </c>
      <c r="R82" s="158">
        <f t="shared" si="19"/>
        <v>0</v>
      </c>
      <c r="S82" s="159">
        <f t="shared" si="20"/>
        <v>100</v>
      </c>
    </row>
    <row r="83" spans="3:19" s="18" customFormat="1" ht="40.5" customHeight="1">
      <c r="C83" s="97"/>
      <c r="D83" s="97"/>
      <c r="E83" s="97"/>
      <c r="F83" s="99" t="s">
        <v>11</v>
      </c>
      <c r="G83" s="144">
        <f>G40+G43+G70+G73+G76+G80</f>
        <v>144459.39999999997</v>
      </c>
      <c r="H83" s="144">
        <f>H40+H43+H70+H73+H76+H80</f>
        <v>144145.39999999997</v>
      </c>
      <c r="I83" s="138">
        <f t="shared" si="1"/>
        <v>99.78263788995385</v>
      </c>
      <c r="J83" s="144">
        <f>J40+J43+J70+J73+J76+J80</f>
        <v>9878.800000000001</v>
      </c>
      <c r="K83" s="144">
        <f>K40+K43+K70+K73+K76+K80</f>
        <v>7748.45366</v>
      </c>
      <c r="L83" s="144">
        <f>L40+L43+L70+L73+L76+L80</f>
        <v>9555.2</v>
      </c>
      <c r="M83" s="144">
        <f>M40+M43+M70+M73+M76+M80</f>
        <v>1167.6999999999998</v>
      </c>
      <c r="N83" s="117" t="e">
        <f>N40+N43+N70+N73</f>
        <v>#REF!</v>
      </c>
      <c r="O83" s="147">
        <f>L83/J83*100</f>
        <v>96.72429849779324</v>
      </c>
      <c r="P83" s="139">
        <f t="shared" si="2"/>
        <v>154338.19999999995</v>
      </c>
      <c r="Q83" s="158">
        <f t="shared" si="3"/>
        <v>153700.59999999998</v>
      </c>
      <c r="R83" s="158">
        <f t="shared" si="4"/>
        <v>-637.5999999999767</v>
      </c>
      <c r="S83" s="159">
        <f t="shared" si="5"/>
        <v>99.58688127760983</v>
      </c>
    </row>
    <row r="84" spans="3:44" s="6" customFormat="1" ht="60.75" customHeight="1">
      <c r="C84" s="28" t="s">
        <v>168</v>
      </c>
      <c r="D84" s="28"/>
      <c r="E84" s="28"/>
      <c r="F84" s="29" t="s">
        <v>138</v>
      </c>
      <c r="G84" s="138"/>
      <c r="H84" s="138"/>
      <c r="I84" s="138"/>
      <c r="J84" s="138"/>
      <c r="K84" s="138"/>
      <c r="L84" s="138"/>
      <c r="M84" s="138"/>
      <c r="N84" s="112"/>
      <c r="O84" s="147"/>
      <c r="P84" s="139"/>
      <c r="Q84" s="158"/>
      <c r="R84" s="158"/>
      <c r="S84" s="159"/>
      <c r="T84" s="3"/>
      <c r="U84" s="3"/>
      <c r="V84" s="3"/>
      <c r="W84" s="3"/>
      <c r="X84" s="3"/>
      <c r="Y84" s="3"/>
      <c r="Z84" s="3"/>
      <c r="AA84" s="3"/>
      <c r="AB84" s="3"/>
      <c r="AC84" s="3"/>
      <c r="AD84" s="3"/>
      <c r="AE84" s="3"/>
      <c r="AF84" s="3"/>
      <c r="AG84" s="3"/>
      <c r="AH84" s="3"/>
      <c r="AI84" s="3"/>
      <c r="AJ84" s="3"/>
      <c r="AK84" s="3"/>
      <c r="AL84" s="3"/>
      <c r="AM84" s="3"/>
      <c r="AN84" s="3"/>
      <c r="AO84" s="3"/>
      <c r="AP84" s="3"/>
      <c r="AQ84" s="3"/>
      <c r="AR84" s="3"/>
    </row>
    <row r="85" spans="3:44" s="6" customFormat="1" ht="60.75" customHeight="1">
      <c r="C85" s="85" t="s">
        <v>169</v>
      </c>
      <c r="D85" s="28"/>
      <c r="E85" s="28"/>
      <c r="F85" s="29" t="s">
        <v>139</v>
      </c>
      <c r="G85" s="138"/>
      <c r="H85" s="138"/>
      <c r="I85" s="138"/>
      <c r="J85" s="138"/>
      <c r="K85" s="138"/>
      <c r="L85" s="138"/>
      <c r="M85" s="138"/>
      <c r="N85" s="112"/>
      <c r="O85" s="147"/>
      <c r="P85" s="139"/>
      <c r="Q85" s="158"/>
      <c r="R85" s="158"/>
      <c r="S85" s="159"/>
      <c r="T85" s="3"/>
      <c r="U85" s="3"/>
      <c r="V85" s="3"/>
      <c r="W85" s="3"/>
      <c r="X85" s="3"/>
      <c r="Y85" s="3"/>
      <c r="Z85" s="3"/>
      <c r="AA85" s="3"/>
      <c r="AB85" s="3"/>
      <c r="AC85" s="3"/>
      <c r="AD85" s="3"/>
      <c r="AE85" s="3"/>
      <c r="AF85" s="3"/>
      <c r="AG85" s="3"/>
      <c r="AH85" s="3"/>
      <c r="AI85" s="3"/>
      <c r="AJ85" s="3"/>
      <c r="AK85" s="3"/>
      <c r="AL85" s="3"/>
      <c r="AM85" s="3"/>
      <c r="AN85" s="3"/>
      <c r="AO85" s="3"/>
      <c r="AP85" s="3"/>
      <c r="AQ85" s="3"/>
      <c r="AR85" s="3"/>
    </row>
    <row r="86" spans="3:44" s="16" customFormat="1" ht="37.5" customHeight="1" hidden="1">
      <c r="C86" s="61"/>
      <c r="D86" s="61"/>
      <c r="E86" s="61"/>
      <c r="F86" s="62" t="s">
        <v>5</v>
      </c>
      <c r="G86" s="146">
        <f>G93+G95+G97+G107+G108+G118+G100+G170+G110</f>
        <v>39103.5</v>
      </c>
      <c r="H86" s="146" t="e">
        <f>H93+H95+H97+H107+H108+H118+#REF!+#REF!+#REF!+#REF!+H100+H170+H110</f>
        <v>#REF!</v>
      </c>
      <c r="I86" s="138" t="e">
        <f aca="true" t="shared" si="22" ref="I86:I142">H86/G86*100</f>
        <v>#REF!</v>
      </c>
      <c r="J86" s="146" t="e">
        <f>J93+J95+J97+J107+J108+J118+#REF!+#REF!+#REF!+#REF!+J100+J170</f>
        <v>#REF!</v>
      </c>
      <c r="K86" s="146" t="e">
        <f>K93+K95+K97+K107+K108+K118+#REF!+#REF!+#REF!+#REF!+K100+K170</f>
        <v>#REF!</v>
      </c>
      <c r="L86" s="146" t="e">
        <f>L93+L95+L97+L107+L108+L118+#REF!+#REF!+#REF!+#REF!+L100+L170</f>
        <v>#REF!</v>
      </c>
      <c r="M86" s="146" t="e">
        <f>M93+M95+M97+M107+M108+M118+#REF!+#REF!+#REF!+#REF!+M100+M170</f>
        <v>#REF!</v>
      </c>
      <c r="N86" s="45" t="e">
        <f>N93+N95+N97+N107+N108+N118+#REF!+#REF!+#REF!+#REF!+N100+N170</f>
        <v>#REF!</v>
      </c>
      <c r="O86" s="147"/>
      <c r="P86" s="139" t="e">
        <f aca="true" t="shared" si="23" ref="P86:P142">G86+J86</f>
        <v>#REF!</v>
      </c>
      <c r="Q86" s="158" t="e">
        <f aca="true" t="shared" si="24" ref="Q86:Q142">H86+L86</f>
        <v>#REF!</v>
      </c>
      <c r="R86" s="158" t="e">
        <f aca="true" t="shared" si="25" ref="R86:R142">Q86-P86</f>
        <v>#REF!</v>
      </c>
      <c r="S86" s="159" t="e">
        <f aca="true" t="shared" si="26" ref="S86:S142">Q86/P86*100</f>
        <v>#REF!</v>
      </c>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row>
    <row r="87" spans="3:44" s="46" customFormat="1" ht="37.5" customHeight="1">
      <c r="C87" s="28"/>
      <c r="D87" s="28"/>
      <c r="E87" s="28"/>
      <c r="F87" s="29" t="s">
        <v>351</v>
      </c>
      <c r="G87" s="139">
        <f>G88</f>
        <v>7895.3</v>
      </c>
      <c r="H87" s="139">
        <f>H88</f>
        <v>7893.3</v>
      </c>
      <c r="I87" s="138">
        <f t="shared" si="22"/>
        <v>99.97466847364888</v>
      </c>
      <c r="J87" s="139">
        <f>J88</f>
        <v>43.8</v>
      </c>
      <c r="K87" s="139">
        <f>K88</f>
        <v>0</v>
      </c>
      <c r="L87" s="139">
        <f>L88</f>
        <v>43.699999999999996</v>
      </c>
      <c r="M87" s="139">
        <f>M88</f>
        <v>40.8</v>
      </c>
      <c r="N87" s="114">
        <f>N88</f>
        <v>90</v>
      </c>
      <c r="O87" s="147">
        <f aca="true" t="shared" si="27" ref="O87:O92">L87/J87*100</f>
        <v>99.77168949771689</v>
      </c>
      <c r="P87" s="139">
        <f t="shared" si="23"/>
        <v>7939.1</v>
      </c>
      <c r="Q87" s="158">
        <f t="shared" si="24"/>
        <v>7937</v>
      </c>
      <c r="R87" s="158">
        <f t="shared" si="25"/>
        <v>-2.100000000000364</v>
      </c>
      <c r="S87" s="159">
        <f t="shared" si="26"/>
        <v>99.9735486390145</v>
      </c>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row>
    <row r="88" spans="1:19" s="6" customFormat="1" ht="57.75" customHeight="1">
      <c r="A88" s="6">
        <v>3</v>
      </c>
      <c r="B88" s="6">
        <v>18</v>
      </c>
      <c r="C88" s="30" t="s">
        <v>170</v>
      </c>
      <c r="D88" s="30" t="s">
        <v>64</v>
      </c>
      <c r="E88" s="30" t="s">
        <v>60</v>
      </c>
      <c r="F88" s="31" t="s">
        <v>171</v>
      </c>
      <c r="G88" s="138">
        <f>G89+G90</f>
        <v>7895.3</v>
      </c>
      <c r="H88" s="138">
        <f>H89</f>
        <v>7893.3</v>
      </c>
      <c r="I88" s="138">
        <f t="shared" si="22"/>
        <v>99.97466847364888</v>
      </c>
      <c r="J88" s="138">
        <f>J89</f>
        <v>43.8</v>
      </c>
      <c r="K88" s="138">
        <f>K89+K90</f>
        <v>0</v>
      </c>
      <c r="L88" s="138">
        <f>L89+L90</f>
        <v>43.699999999999996</v>
      </c>
      <c r="M88" s="138">
        <f>M89+M90</f>
        <v>40.8</v>
      </c>
      <c r="N88" s="112">
        <f>N89+N90</f>
        <v>90</v>
      </c>
      <c r="O88" s="147">
        <f t="shared" si="27"/>
        <v>99.77168949771689</v>
      </c>
      <c r="P88" s="139">
        <f t="shared" si="23"/>
        <v>7939.1</v>
      </c>
      <c r="Q88" s="158">
        <f t="shared" si="24"/>
        <v>7937</v>
      </c>
      <c r="R88" s="158">
        <f t="shared" si="25"/>
        <v>-2.100000000000364</v>
      </c>
      <c r="S88" s="159">
        <f t="shared" si="26"/>
        <v>99.9735486390145</v>
      </c>
    </row>
    <row r="89" spans="3:19" s="37" customFormat="1" ht="45.75" customHeight="1">
      <c r="C89" s="33"/>
      <c r="D89" s="33"/>
      <c r="E89" s="33"/>
      <c r="F89" s="42" t="s">
        <v>159</v>
      </c>
      <c r="G89" s="142">
        <v>7895.3</v>
      </c>
      <c r="H89" s="142">
        <v>7893.3</v>
      </c>
      <c r="I89" s="138">
        <f t="shared" si="22"/>
        <v>99.97466847364888</v>
      </c>
      <c r="J89" s="142">
        <f>3+40.8</f>
        <v>43.8</v>
      </c>
      <c r="K89" s="150"/>
      <c r="L89" s="142">
        <f>2.9+40.8</f>
        <v>43.699999999999996</v>
      </c>
      <c r="M89" s="142">
        <v>40.8</v>
      </c>
      <c r="N89" s="113">
        <v>90</v>
      </c>
      <c r="O89" s="147">
        <f t="shared" si="27"/>
        <v>99.77168949771689</v>
      </c>
      <c r="P89" s="139">
        <f t="shared" si="23"/>
        <v>7939.1</v>
      </c>
      <c r="Q89" s="158">
        <f t="shared" si="24"/>
        <v>7937</v>
      </c>
      <c r="R89" s="158">
        <f t="shared" si="25"/>
        <v>-2.100000000000364</v>
      </c>
      <c r="S89" s="159">
        <f t="shared" si="26"/>
        <v>99.9735486390145</v>
      </c>
    </row>
    <row r="90" spans="3:19" s="37" customFormat="1" ht="45.75" customHeight="1" hidden="1">
      <c r="C90" s="33"/>
      <c r="D90" s="33"/>
      <c r="E90" s="33"/>
      <c r="F90" s="42" t="s">
        <v>120</v>
      </c>
      <c r="G90" s="142"/>
      <c r="H90" s="142"/>
      <c r="I90" s="138" t="e">
        <f t="shared" si="22"/>
        <v>#DIV/0!</v>
      </c>
      <c r="J90" s="142">
        <f>K90+N90</f>
        <v>0</v>
      </c>
      <c r="K90" s="150"/>
      <c r="L90" s="142"/>
      <c r="M90" s="142"/>
      <c r="N90" s="113"/>
      <c r="O90" s="147" t="e">
        <f t="shared" si="27"/>
        <v>#DIV/0!</v>
      </c>
      <c r="P90" s="139">
        <f t="shared" si="23"/>
        <v>0</v>
      </c>
      <c r="Q90" s="158">
        <f t="shared" si="24"/>
        <v>0</v>
      </c>
      <c r="R90" s="158">
        <f t="shared" si="25"/>
        <v>0</v>
      </c>
      <c r="S90" s="159" t="e">
        <f t="shared" si="26"/>
        <v>#DIV/0!</v>
      </c>
    </row>
    <row r="91" spans="3:19" s="46" customFormat="1" ht="34.5" customHeight="1">
      <c r="C91" s="92"/>
      <c r="D91" s="92"/>
      <c r="E91" s="92"/>
      <c r="F91" s="66" t="s">
        <v>314</v>
      </c>
      <c r="G91" s="139">
        <f>G92+G99+G102+G103+G104+G105+G109+G110+G112</f>
        <v>66812</v>
      </c>
      <c r="H91" s="139">
        <f>H92+H99+H102+H103+H104+H105+H109+H110+H112</f>
        <v>65438.50000000001</v>
      </c>
      <c r="I91" s="138">
        <f t="shared" si="22"/>
        <v>97.94423157516616</v>
      </c>
      <c r="J91" s="139">
        <f>J92+J99+J102+J103+J104+J105+J109+J110+J112</f>
        <v>7974.300000000001</v>
      </c>
      <c r="K91" s="139">
        <f>K92+K99+K102+K103+K104+K105+K109+K110+K112</f>
        <v>6609.9424</v>
      </c>
      <c r="L91" s="139">
        <f>L92+L99+L102+L103+L104+L105+L109+L110+L112</f>
        <v>7783.1</v>
      </c>
      <c r="M91" s="139">
        <f>M92+M99+M102+M103+M104+M105+M109+M110+M112</f>
        <v>346.5</v>
      </c>
      <c r="N91" s="114" t="e">
        <f>N92+#REF!+#REF!+#REF!</f>
        <v>#REF!</v>
      </c>
      <c r="O91" s="147">
        <f t="shared" si="27"/>
        <v>97.6022973803343</v>
      </c>
      <c r="P91" s="139">
        <f t="shared" si="23"/>
        <v>74786.3</v>
      </c>
      <c r="Q91" s="158">
        <f t="shared" si="24"/>
        <v>73221.6</v>
      </c>
      <c r="R91" s="158">
        <f t="shared" si="25"/>
        <v>-1564.699999999997</v>
      </c>
      <c r="S91" s="159">
        <f t="shared" si="26"/>
        <v>97.9077718780044</v>
      </c>
    </row>
    <row r="92" spans="3:19" s="6" customFormat="1" ht="49.5" customHeight="1">
      <c r="C92" s="4" t="s">
        <v>223</v>
      </c>
      <c r="D92" s="4" t="s">
        <v>140</v>
      </c>
      <c r="E92" s="4" t="s">
        <v>141</v>
      </c>
      <c r="F92" s="39" t="s">
        <v>496</v>
      </c>
      <c r="G92" s="138">
        <f>SUM(G93:G98)</f>
        <v>59237.200000000004</v>
      </c>
      <c r="H92" s="138">
        <f>SUM(H93:H98)</f>
        <v>58085.200000000004</v>
      </c>
      <c r="I92" s="138">
        <f t="shared" si="22"/>
        <v>98.05527607651948</v>
      </c>
      <c r="J92" s="138">
        <f>J93+J94+J95</f>
        <v>7864.200000000001</v>
      </c>
      <c r="K92" s="138">
        <f>SUM(K93:K97)</f>
        <v>6609.9424</v>
      </c>
      <c r="L92" s="138">
        <f>SUM(L93:L97)</f>
        <v>7673</v>
      </c>
      <c r="M92" s="138">
        <f>SUM(M93:M97)</f>
        <v>236.4</v>
      </c>
      <c r="N92" s="112">
        <f>SUM(N93:N97)</f>
        <v>260</v>
      </c>
      <c r="O92" s="147">
        <f t="shared" si="27"/>
        <v>97.56872917779302</v>
      </c>
      <c r="P92" s="139">
        <f t="shared" si="23"/>
        <v>67101.40000000001</v>
      </c>
      <c r="Q92" s="158">
        <f t="shared" si="24"/>
        <v>65758.20000000001</v>
      </c>
      <c r="R92" s="158">
        <f t="shared" si="25"/>
        <v>-1343.199999999997</v>
      </c>
      <c r="S92" s="159">
        <f t="shared" si="26"/>
        <v>97.99825338964612</v>
      </c>
    </row>
    <row r="93" spans="3:19" s="37" customFormat="1" ht="33" customHeight="1">
      <c r="C93" s="34"/>
      <c r="D93" s="34"/>
      <c r="E93" s="34"/>
      <c r="F93" s="90" t="s">
        <v>395</v>
      </c>
      <c r="G93" s="142">
        <v>30228.1</v>
      </c>
      <c r="H93" s="142">
        <v>29785.2</v>
      </c>
      <c r="I93" s="138">
        <f t="shared" si="22"/>
        <v>98.5348070173117</v>
      </c>
      <c r="J93" s="142">
        <f aca="true" t="shared" si="28" ref="J93:J98">K93+N93</f>
        <v>0</v>
      </c>
      <c r="K93" s="154"/>
      <c r="L93" s="142"/>
      <c r="M93" s="142"/>
      <c r="N93" s="113"/>
      <c r="O93" s="147"/>
      <c r="P93" s="139">
        <f t="shared" si="23"/>
        <v>30228.1</v>
      </c>
      <c r="Q93" s="158">
        <f t="shared" si="24"/>
        <v>29785.2</v>
      </c>
      <c r="R93" s="158">
        <f t="shared" si="25"/>
        <v>-442.8999999999978</v>
      </c>
      <c r="S93" s="159">
        <f t="shared" si="26"/>
        <v>98.5348070173117</v>
      </c>
    </row>
    <row r="94" spans="3:19" s="37" customFormat="1" ht="33" customHeight="1">
      <c r="C94" s="34"/>
      <c r="D94" s="34"/>
      <c r="E94" s="34"/>
      <c r="F94" s="90" t="s">
        <v>42</v>
      </c>
      <c r="G94" s="142">
        <v>26734.6</v>
      </c>
      <c r="H94" s="142">
        <v>26622.5</v>
      </c>
      <c r="I94" s="138">
        <f t="shared" si="22"/>
        <v>99.58069318411347</v>
      </c>
      <c r="J94" s="142">
        <f>237.3+6444.5+1182.4</f>
        <v>7864.200000000001</v>
      </c>
      <c r="K94" s="142">
        <f>6444.5+165.4424</f>
        <v>6609.9424</v>
      </c>
      <c r="L94" s="142">
        <f>6254.5+1182.1+236.4</f>
        <v>7673</v>
      </c>
      <c r="M94" s="142">
        <v>236.4</v>
      </c>
      <c r="N94" s="113">
        <v>260</v>
      </c>
      <c r="O94" s="147">
        <f>L94/J94*100</f>
        <v>97.56872917779302</v>
      </c>
      <c r="P94" s="139">
        <f t="shared" si="23"/>
        <v>34598.8</v>
      </c>
      <c r="Q94" s="158">
        <f t="shared" si="24"/>
        <v>34295.5</v>
      </c>
      <c r="R94" s="158">
        <f t="shared" si="25"/>
        <v>-303.3000000000029</v>
      </c>
      <c r="S94" s="159">
        <f t="shared" si="26"/>
        <v>99.12338000161854</v>
      </c>
    </row>
    <row r="95" spans="3:19" s="37" customFormat="1" ht="40.5" customHeight="1">
      <c r="C95" s="34"/>
      <c r="D95" s="34"/>
      <c r="E95" s="34"/>
      <c r="F95" s="90" t="s">
        <v>582</v>
      </c>
      <c r="G95" s="142">
        <v>1072.4</v>
      </c>
      <c r="H95" s="142">
        <v>1065.3</v>
      </c>
      <c r="I95" s="138">
        <f t="shared" si="22"/>
        <v>99.33793360686309</v>
      </c>
      <c r="J95" s="142">
        <f t="shared" si="28"/>
        <v>0</v>
      </c>
      <c r="K95" s="154"/>
      <c r="L95" s="142"/>
      <c r="M95" s="142"/>
      <c r="N95" s="113"/>
      <c r="O95" s="147"/>
      <c r="P95" s="139">
        <f t="shared" si="23"/>
        <v>1072.4</v>
      </c>
      <c r="Q95" s="158">
        <f t="shared" si="24"/>
        <v>1065.3</v>
      </c>
      <c r="R95" s="158">
        <f t="shared" si="25"/>
        <v>-7.100000000000136</v>
      </c>
      <c r="S95" s="159">
        <f t="shared" si="26"/>
        <v>99.33793360686309</v>
      </c>
    </row>
    <row r="96" spans="3:19" s="37" customFormat="1" ht="75.75" customHeight="1" hidden="1">
      <c r="C96" s="34"/>
      <c r="D96" s="34"/>
      <c r="E96" s="34"/>
      <c r="F96" s="90" t="s">
        <v>154</v>
      </c>
      <c r="G96" s="142"/>
      <c r="H96" s="142"/>
      <c r="I96" s="138" t="e">
        <f t="shared" si="22"/>
        <v>#DIV/0!</v>
      </c>
      <c r="J96" s="142">
        <f t="shared" si="28"/>
        <v>0</v>
      </c>
      <c r="K96" s="154"/>
      <c r="L96" s="142"/>
      <c r="M96" s="142"/>
      <c r="N96" s="113"/>
      <c r="O96" s="147" t="e">
        <f>L96/J96*100</f>
        <v>#DIV/0!</v>
      </c>
      <c r="P96" s="139">
        <f t="shared" si="23"/>
        <v>0</v>
      </c>
      <c r="Q96" s="158">
        <f t="shared" si="24"/>
        <v>0</v>
      </c>
      <c r="R96" s="158">
        <f t="shared" si="25"/>
        <v>0</v>
      </c>
      <c r="S96" s="159" t="e">
        <f t="shared" si="26"/>
        <v>#DIV/0!</v>
      </c>
    </row>
    <row r="97" spans="3:19" s="37" customFormat="1" ht="56.25">
      <c r="C97" s="34"/>
      <c r="D97" s="34"/>
      <c r="E97" s="34"/>
      <c r="F97" s="90" t="s">
        <v>143</v>
      </c>
      <c r="G97" s="142">
        <v>1197.3</v>
      </c>
      <c r="H97" s="142">
        <v>607.4</v>
      </c>
      <c r="I97" s="138">
        <f t="shared" si="22"/>
        <v>50.73081099139731</v>
      </c>
      <c r="J97" s="142"/>
      <c r="K97" s="154"/>
      <c r="L97" s="142"/>
      <c r="M97" s="142"/>
      <c r="N97" s="113"/>
      <c r="O97" s="147"/>
      <c r="P97" s="139">
        <f t="shared" si="23"/>
        <v>1197.3</v>
      </c>
      <c r="Q97" s="158">
        <f t="shared" si="24"/>
        <v>607.4</v>
      </c>
      <c r="R97" s="158">
        <f t="shared" si="25"/>
        <v>-589.9</v>
      </c>
      <c r="S97" s="159">
        <f t="shared" si="26"/>
        <v>50.73081099139731</v>
      </c>
    </row>
    <row r="98" spans="3:19" s="37" customFormat="1" ht="37.5">
      <c r="C98" s="34"/>
      <c r="D98" s="34"/>
      <c r="E98" s="34"/>
      <c r="F98" s="90" t="s">
        <v>120</v>
      </c>
      <c r="G98" s="142">
        <v>4.8</v>
      </c>
      <c r="H98" s="142">
        <v>4.8</v>
      </c>
      <c r="I98" s="138">
        <f t="shared" si="22"/>
        <v>100</v>
      </c>
      <c r="J98" s="142">
        <f t="shared" si="28"/>
        <v>0</v>
      </c>
      <c r="K98" s="142"/>
      <c r="L98" s="142"/>
      <c r="M98" s="142"/>
      <c r="N98" s="113"/>
      <c r="O98" s="147"/>
      <c r="P98" s="139">
        <f t="shared" si="23"/>
        <v>4.8</v>
      </c>
      <c r="Q98" s="158">
        <f t="shared" si="24"/>
        <v>4.8</v>
      </c>
      <c r="R98" s="158">
        <f t="shared" si="25"/>
        <v>0</v>
      </c>
      <c r="S98" s="159">
        <f t="shared" si="26"/>
        <v>100</v>
      </c>
    </row>
    <row r="99" spans="3:19" s="37" customFormat="1" ht="60" customHeight="1">
      <c r="C99" s="4" t="s">
        <v>407</v>
      </c>
      <c r="D99" s="4" t="s">
        <v>408</v>
      </c>
      <c r="E99" s="4" t="s">
        <v>409</v>
      </c>
      <c r="F99" s="90" t="s">
        <v>410</v>
      </c>
      <c r="G99" s="142">
        <f>SUM(G100:G101)</f>
        <v>4098.8</v>
      </c>
      <c r="H99" s="142">
        <f>SUM(H100:H101)</f>
        <v>4091.3</v>
      </c>
      <c r="I99" s="138">
        <f t="shared" si="22"/>
        <v>99.81701961549722</v>
      </c>
      <c r="J99" s="142">
        <f>J100+J101</f>
        <v>110.1</v>
      </c>
      <c r="K99" s="142">
        <f>SUM(K100:K101)</f>
        <v>0</v>
      </c>
      <c r="L99" s="142">
        <f>SUM(L100:L101)</f>
        <v>110.1</v>
      </c>
      <c r="M99" s="142">
        <f>SUM(M100:M101)</f>
        <v>110.1</v>
      </c>
      <c r="N99" s="113">
        <f>SUM(N100:N101)</f>
        <v>0</v>
      </c>
      <c r="O99" s="147">
        <f>L99/J99*100</f>
        <v>100</v>
      </c>
      <c r="P99" s="139">
        <f t="shared" si="23"/>
        <v>4208.900000000001</v>
      </c>
      <c r="Q99" s="158">
        <f t="shared" si="24"/>
        <v>4201.400000000001</v>
      </c>
      <c r="R99" s="158">
        <f t="shared" si="25"/>
        <v>-7.5</v>
      </c>
      <c r="S99" s="159">
        <f t="shared" si="26"/>
        <v>99.82180617263417</v>
      </c>
    </row>
    <row r="100" spans="3:19" s="37" customFormat="1" ht="42" customHeight="1">
      <c r="C100" s="4"/>
      <c r="D100" s="4"/>
      <c r="E100" s="4"/>
      <c r="F100" s="90" t="s">
        <v>396</v>
      </c>
      <c r="G100" s="142">
        <v>4015.8</v>
      </c>
      <c r="H100" s="142">
        <v>4008.4</v>
      </c>
      <c r="I100" s="138">
        <f t="shared" si="22"/>
        <v>99.81572787489416</v>
      </c>
      <c r="J100" s="142">
        <f>K100+N100</f>
        <v>0</v>
      </c>
      <c r="K100" s="154"/>
      <c r="L100" s="142"/>
      <c r="M100" s="142"/>
      <c r="N100" s="113"/>
      <c r="O100" s="147"/>
      <c r="P100" s="139">
        <f t="shared" si="23"/>
        <v>4015.8</v>
      </c>
      <c r="Q100" s="158">
        <f t="shared" si="24"/>
        <v>4008.4</v>
      </c>
      <c r="R100" s="158">
        <f t="shared" si="25"/>
        <v>-7.400000000000091</v>
      </c>
      <c r="S100" s="159">
        <f t="shared" si="26"/>
        <v>99.81572787489416</v>
      </c>
    </row>
    <row r="101" spans="3:19" s="37" customFormat="1" ht="33.75" customHeight="1">
      <c r="C101" s="34"/>
      <c r="D101" s="34"/>
      <c r="E101" s="34"/>
      <c r="F101" s="90" t="s">
        <v>42</v>
      </c>
      <c r="G101" s="142">
        <v>83</v>
      </c>
      <c r="H101" s="142">
        <v>82.9</v>
      </c>
      <c r="I101" s="138">
        <f t="shared" si="22"/>
        <v>99.87951807228916</v>
      </c>
      <c r="J101" s="142">
        <v>110.1</v>
      </c>
      <c r="K101" s="142"/>
      <c r="L101" s="142">
        <v>110.1</v>
      </c>
      <c r="M101" s="142">
        <v>110.1</v>
      </c>
      <c r="N101" s="113"/>
      <c r="O101" s="147">
        <f>L101/J101*100</f>
        <v>100</v>
      </c>
      <c r="P101" s="139">
        <f t="shared" si="23"/>
        <v>193.1</v>
      </c>
      <c r="Q101" s="158">
        <f t="shared" si="24"/>
        <v>193</v>
      </c>
      <c r="R101" s="158">
        <f t="shared" si="25"/>
        <v>-0.09999999999999432</v>
      </c>
      <c r="S101" s="159">
        <f t="shared" si="26"/>
        <v>99.94821336095288</v>
      </c>
    </row>
    <row r="102" spans="3:19" s="6" customFormat="1" ht="79.5" customHeight="1">
      <c r="C102" s="52" t="s">
        <v>281</v>
      </c>
      <c r="D102" s="52" t="s">
        <v>224</v>
      </c>
      <c r="E102" s="52" t="s">
        <v>76</v>
      </c>
      <c r="F102" s="89" t="s">
        <v>563</v>
      </c>
      <c r="G102" s="142">
        <v>68.9</v>
      </c>
      <c r="H102" s="138">
        <v>68.9</v>
      </c>
      <c r="I102" s="138">
        <f t="shared" si="22"/>
        <v>100</v>
      </c>
      <c r="J102" s="142"/>
      <c r="K102" s="155"/>
      <c r="L102" s="138"/>
      <c r="M102" s="138"/>
      <c r="N102" s="112"/>
      <c r="O102" s="147"/>
      <c r="P102" s="139">
        <f t="shared" si="23"/>
        <v>68.9</v>
      </c>
      <c r="Q102" s="158">
        <f t="shared" si="24"/>
        <v>68.9</v>
      </c>
      <c r="R102" s="158">
        <f t="shared" si="25"/>
        <v>0</v>
      </c>
      <c r="S102" s="159">
        <f t="shared" si="26"/>
        <v>100</v>
      </c>
    </row>
    <row r="103" spans="3:19" s="6" customFormat="1" ht="69" customHeight="1">
      <c r="C103" s="52" t="s">
        <v>282</v>
      </c>
      <c r="D103" s="52" t="s">
        <v>225</v>
      </c>
      <c r="E103" s="52" t="s">
        <v>76</v>
      </c>
      <c r="F103" s="90" t="s">
        <v>564</v>
      </c>
      <c r="G103" s="142">
        <v>266.1</v>
      </c>
      <c r="H103" s="138">
        <v>262.1</v>
      </c>
      <c r="I103" s="138">
        <f t="shared" si="22"/>
        <v>98.4968057121383</v>
      </c>
      <c r="J103" s="142"/>
      <c r="K103" s="155"/>
      <c r="L103" s="138"/>
      <c r="M103" s="138"/>
      <c r="N103" s="112"/>
      <c r="O103" s="147"/>
      <c r="P103" s="139">
        <f t="shared" si="23"/>
        <v>266.1</v>
      </c>
      <c r="Q103" s="158">
        <f t="shared" si="24"/>
        <v>262.1</v>
      </c>
      <c r="R103" s="158">
        <f t="shared" si="25"/>
        <v>-4</v>
      </c>
      <c r="S103" s="159">
        <f t="shared" si="26"/>
        <v>98.4968057121383</v>
      </c>
    </row>
    <row r="104" spans="3:19" s="6" customFormat="1" ht="63.75" customHeight="1">
      <c r="C104" s="52" t="s">
        <v>283</v>
      </c>
      <c r="D104" s="52" t="s">
        <v>226</v>
      </c>
      <c r="E104" s="52" t="s">
        <v>76</v>
      </c>
      <c r="F104" s="90" t="s">
        <v>565</v>
      </c>
      <c r="G104" s="142">
        <v>25.6</v>
      </c>
      <c r="H104" s="138">
        <v>25.6</v>
      </c>
      <c r="I104" s="138">
        <f t="shared" si="22"/>
        <v>100</v>
      </c>
      <c r="J104" s="142"/>
      <c r="K104" s="155"/>
      <c r="L104" s="138"/>
      <c r="M104" s="138"/>
      <c r="N104" s="112"/>
      <c r="O104" s="147"/>
      <c r="P104" s="139">
        <f t="shared" si="23"/>
        <v>25.6</v>
      </c>
      <c r="Q104" s="158">
        <f t="shared" si="24"/>
        <v>25.6</v>
      </c>
      <c r="R104" s="158">
        <f t="shared" si="25"/>
        <v>0</v>
      </c>
      <c r="S104" s="159">
        <f t="shared" si="26"/>
        <v>100</v>
      </c>
    </row>
    <row r="105" spans="3:19" s="6" customFormat="1" ht="51" customHeight="1">
      <c r="C105" s="52" t="s">
        <v>284</v>
      </c>
      <c r="D105" s="52" t="s">
        <v>228</v>
      </c>
      <c r="E105" s="52" t="s">
        <v>76</v>
      </c>
      <c r="F105" s="90" t="s">
        <v>227</v>
      </c>
      <c r="G105" s="142">
        <f>SUM(G106:G108)</f>
        <v>837.6</v>
      </c>
      <c r="H105" s="142">
        <f>SUM(H106:H108)</f>
        <v>771</v>
      </c>
      <c r="I105" s="138">
        <f t="shared" si="22"/>
        <v>92.0487106017192</v>
      </c>
      <c r="J105" s="142"/>
      <c r="K105" s="155"/>
      <c r="L105" s="138"/>
      <c r="M105" s="138"/>
      <c r="N105" s="112"/>
      <c r="O105" s="147"/>
      <c r="P105" s="139">
        <f t="shared" si="23"/>
        <v>837.6</v>
      </c>
      <c r="Q105" s="158">
        <f t="shared" si="24"/>
        <v>771</v>
      </c>
      <c r="R105" s="158">
        <f t="shared" si="25"/>
        <v>-66.60000000000002</v>
      </c>
      <c r="S105" s="159">
        <f t="shared" si="26"/>
        <v>92.0487106017192</v>
      </c>
    </row>
    <row r="106" spans="3:19" s="6" customFormat="1" ht="44.25" customHeight="1" hidden="1">
      <c r="C106" s="67"/>
      <c r="D106" s="67"/>
      <c r="E106" s="67"/>
      <c r="F106" s="90" t="s">
        <v>142</v>
      </c>
      <c r="G106" s="142"/>
      <c r="H106" s="138"/>
      <c r="I106" s="138" t="e">
        <f t="shared" si="22"/>
        <v>#DIV/0!</v>
      </c>
      <c r="J106" s="142"/>
      <c r="K106" s="155"/>
      <c r="L106" s="138"/>
      <c r="M106" s="138"/>
      <c r="N106" s="112"/>
      <c r="O106" s="147"/>
      <c r="P106" s="139">
        <f t="shared" si="23"/>
        <v>0</v>
      </c>
      <c r="Q106" s="158">
        <f t="shared" si="24"/>
        <v>0</v>
      </c>
      <c r="R106" s="158">
        <f t="shared" si="25"/>
        <v>0</v>
      </c>
      <c r="S106" s="159" t="e">
        <f t="shared" si="26"/>
        <v>#DIV/0!</v>
      </c>
    </row>
    <row r="107" spans="3:19" s="6" customFormat="1" ht="44.25" customHeight="1">
      <c r="C107" s="67"/>
      <c r="D107" s="67"/>
      <c r="E107" s="67"/>
      <c r="F107" s="90" t="s">
        <v>581</v>
      </c>
      <c r="G107" s="142">
        <v>0.1</v>
      </c>
      <c r="H107" s="138">
        <v>0.1</v>
      </c>
      <c r="I107" s="138">
        <f t="shared" si="22"/>
        <v>100</v>
      </c>
      <c r="J107" s="142"/>
      <c r="K107" s="155"/>
      <c r="L107" s="138"/>
      <c r="M107" s="138"/>
      <c r="N107" s="112"/>
      <c r="O107" s="147"/>
      <c r="P107" s="139">
        <f t="shared" si="23"/>
        <v>0.1</v>
      </c>
      <c r="Q107" s="158">
        <f t="shared" si="24"/>
        <v>0.1</v>
      </c>
      <c r="R107" s="158">
        <f t="shared" si="25"/>
        <v>0</v>
      </c>
      <c r="S107" s="159">
        <f t="shared" si="26"/>
        <v>100</v>
      </c>
    </row>
    <row r="108" spans="3:19" s="6" customFormat="1" ht="96" customHeight="1">
      <c r="C108" s="67"/>
      <c r="D108" s="67"/>
      <c r="E108" s="67"/>
      <c r="F108" s="90" t="s">
        <v>417</v>
      </c>
      <c r="G108" s="142">
        <v>837.5</v>
      </c>
      <c r="H108" s="138">
        <v>770.9</v>
      </c>
      <c r="I108" s="138">
        <f t="shared" si="22"/>
        <v>92.04776119402986</v>
      </c>
      <c r="J108" s="142"/>
      <c r="K108" s="155"/>
      <c r="L108" s="138"/>
      <c r="M108" s="138"/>
      <c r="N108" s="112"/>
      <c r="O108" s="147"/>
      <c r="P108" s="139">
        <f t="shared" si="23"/>
        <v>837.5</v>
      </c>
      <c r="Q108" s="158">
        <f t="shared" si="24"/>
        <v>770.9</v>
      </c>
      <c r="R108" s="158">
        <f t="shared" si="25"/>
        <v>-66.60000000000002</v>
      </c>
      <c r="S108" s="159">
        <f t="shared" si="26"/>
        <v>92.04776119402986</v>
      </c>
    </row>
    <row r="109" spans="3:19" s="6" customFormat="1" ht="73.5" customHeight="1">
      <c r="C109" s="52" t="s">
        <v>401</v>
      </c>
      <c r="D109" s="52" t="s">
        <v>229</v>
      </c>
      <c r="E109" s="52" t="s">
        <v>76</v>
      </c>
      <c r="F109" s="90" t="s">
        <v>566</v>
      </c>
      <c r="G109" s="142">
        <v>185</v>
      </c>
      <c r="H109" s="138">
        <v>185</v>
      </c>
      <c r="I109" s="138">
        <f t="shared" si="22"/>
        <v>100</v>
      </c>
      <c r="J109" s="142"/>
      <c r="K109" s="155"/>
      <c r="L109" s="138"/>
      <c r="M109" s="138"/>
      <c r="N109" s="112"/>
      <c r="O109" s="147"/>
      <c r="P109" s="139">
        <f t="shared" si="23"/>
        <v>185</v>
      </c>
      <c r="Q109" s="158">
        <f t="shared" si="24"/>
        <v>185</v>
      </c>
      <c r="R109" s="158">
        <f t="shared" si="25"/>
        <v>0</v>
      </c>
      <c r="S109" s="159">
        <f t="shared" si="26"/>
        <v>100</v>
      </c>
    </row>
    <row r="110" spans="3:19" s="6" customFormat="1" ht="66" customHeight="1">
      <c r="C110" s="52" t="s">
        <v>588</v>
      </c>
      <c r="D110" s="52" t="s">
        <v>589</v>
      </c>
      <c r="E110" s="52" t="s">
        <v>76</v>
      </c>
      <c r="F110" s="90" t="s">
        <v>591</v>
      </c>
      <c r="G110" s="142">
        <v>1140.8</v>
      </c>
      <c r="H110" s="138">
        <v>999.1</v>
      </c>
      <c r="I110" s="138">
        <f t="shared" si="22"/>
        <v>87.5788920056101</v>
      </c>
      <c r="J110" s="142"/>
      <c r="K110" s="155"/>
      <c r="L110" s="138"/>
      <c r="M110" s="138"/>
      <c r="N110" s="112"/>
      <c r="O110" s="147"/>
      <c r="P110" s="139">
        <f t="shared" si="23"/>
        <v>1140.8</v>
      </c>
      <c r="Q110" s="158">
        <f t="shared" si="24"/>
        <v>999.1</v>
      </c>
      <c r="R110" s="158">
        <f t="shared" si="25"/>
        <v>-141.69999999999993</v>
      </c>
      <c r="S110" s="159">
        <f t="shared" si="26"/>
        <v>87.5788920056101</v>
      </c>
    </row>
    <row r="111" spans="3:19" s="37" customFormat="1" ht="48.75" customHeight="1" hidden="1">
      <c r="C111" s="52" t="s">
        <v>413</v>
      </c>
      <c r="D111" s="52" t="s">
        <v>411</v>
      </c>
      <c r="E111" s="52" t="s">
        <v>76</v>
      </c>
      <c r="F111" s="90" t="s">
        <v>414</v>
      </c>
      <c r="G111" s="142"/>
      <c r="H111" s="142"/>
      <c r="I111" s="138" t="e">
        <f t="shared" si="22"/>
        <v>#DIV/0!</v>
      </c>
      <c r="J111" s="142"/>
      <c r="K111" s="142"/>
      <c r="L111" s="142"/>
      <c r="M111" s="142"/>
      <c r="N111" s="113"/>
      <c r="O111" s="147"/>
      <c r="P111" s="139">
        <f t="shared" si="23"/>
        <v>0</v>
      </c>
      <c r="Q111" s="158">
        <f t="shared" si="24"/>
        <v>0</v>
      </c>
      <c r="R111" s="158">
        <f t="shared" si="25"/>
        <v>0</v>
      </c>
      <c r="S111" s="159" t="e">
        <f t="shared" si="26"/>
        <v>#DIV/0!</v>
      </c>
    </row>
    <row r="112" spans="3:19" s="37" customFormat="1" ht="30.75" customHeight="1">
      <c r="C112" s="52" t="s">
        <v>412</v>
      </c>
      <c r="D112" s="52" t="s">
        <v>479</v>
      </c>
      <c r="E112" s="52" t="s">
        <v>76</v>
      </c>
      <c r="F112" s="90" t="s">
        <v>415</v>
      </c>
      <c r="G112" s="142">
        <f>SUM(G113:G118)</f>
        <v>952.0000000000001</v>
      </c>
      <c r="H112" s="142">
        <f>SUM(H113:H118)</f>
        <v>950.3</v>
      </c>
      <c r="I112" s="138">
        <f t="shared" si="22"/>
        <v>99.82142857142856</v>
      </c>
      <c r="J112" s="142"/>
      <c r="K112" s="142">
        <f>SUM(K113:K118)</f>
        <v>0</v>
      </c>
      <c r="L112" s="142">
        <f>SUM(L113:L118)</f>
        <v>0</v>
      </c>
      <c r="M112" s="142">
        <f>SUM(M113:M118)</f>
        <v>0</v>
      </c>
      <c r="N112" s="113">
        <f>SUM(N113:N118)</f>
        <v>0</v>
      </c>
      <c r="O112" s="147"/>
      <c r="P112" s="139">
        <f t="shared" si="23"/>
        <v>952.0000000000001</v>
      </c>
      <c r="Q112" s="158">
        <f t="shared" si="24"/>
        <v>950.3</v>
      </c>
      <c r="R112" s="158">
        <f t="shared" si="25"/>
        <v>-1.7000000000001592</v>
      </c>
      <c r="S112" s="159">
        <f t="shared" si="26"/>
        <v>99.82142857142856</v>
      </c>
    </row>
    <row r="113" spans="3:19" s="6" customFormat="1" ht="56.25" customHeight="1">
      <c r="C113" s="52"/>
      <c r="D113" s="30"/>
      <c r="E113" s="30"/>
      <c r="F113" s="42" t="s">
        <v>567</v>
      </c>
      <c r="G113" s="138">
        <v>134.4</v>
      </c>
      <c r="H113" s="138">
        <v>133.4</v>
      </c>
      <c r="I113" s="138">
        <f t="shared" si="22"/>
        <v>99.25595238095238</v>
      </c>
      <c r="J113" s="142"/>
      <c r="K113" s="155"/>
      <c r="L113" s="138"/>
      <c r="M113" s="138"/>
      <c r="N113" s="112"/>
      <c r="O113" s="147"/>
      <c r="P113" s="139">
        <f t="shared" si="23"/>
        <v>134.4</v>
      </c>
      <c r="Q113" s="158">
        <f t="shared" si="24"/>
        <v>133.4</v>
      </c>
      <c r="R113" s="158">
        <f t="shared" si="25"/>
        <v>-1</v>
      </c>
      <c r="S113" s="159">
        <f t="shared" si="26"/>
        <v>99.25595238095238</v>
      </c>
    </row>
    <row r="114" spans="3:19" s="6" customFormat="1" ht="81" customHeight="1">
      <c r="C114" s="52"/>
      <c r="D114" s="30"/>
      <c r="E114" s="52"/>
      <c r="F114" s="42" t="s">
        <v>568</v>
      </c>
      <c r="G114" s="138">
        <v>42.4</v>
      </c>
      <c r="H114" s="138">
        <v>41.8</v>
      </c>
      <c r="I114" s="138">
        <f t="shared" si="22"/>
        <v>98.58490566037736</v>
      </c>
      <c r="J114" s="142"/>
      <c r="K114" s="155"/>
      <c r="L114" s="138"/>
      <c r="M114" s="138"/>
      <c r="N114" s="112"/>
      <c r="O114" s="147"/>
      <c r="P114" s="139">
        <f t="shared" si="23"/>
        <v>42.4</v>
      </c>
      <c r="Q114" s="158">
        <f t="shared" si="24"/>
        <v>41.8</v>
      </c>
      <c r="R114" s="158">
        <f t="shared" si="25"/>
        <v>-0.6000000000000014</v>
      </c>
      <c r="S114" s="159">
        <f t="shared" si="26"/>
        <v>98.58490566037736</v>
      </c>
    </row>
    <row r="115" spans="3:19" s="6" customFormat="1" ht="66" customHeight="1">
      <c r="C115" s="52"/>
      <c r="D115" s="30"/>
      <c r="E115" s="30"/>
      <c r="F115" s="42" t="s">
        <v>569</v>
      </c>
      <c r="G115" s="138">
        <v>687.4</v>
      </c>
      <c r="H115" s="138">
        <v>687.4</v>
      </c>
      <c r="I115" s="138">
        <f t="shared" si="22"/>
        <v>100</v>
      </c>
      <c r="J115" s="142"/>
      <c r="K115" s="155"/>
      <c r="L115" s="138"/>
      <c r="M115" s="138"/>
      <c r="N115" s="112"/>
      <c r="O115" s="147"/>
      <c r="P115" s="139">
        <f t="shared" si="23"/>
        <v>687.4</v>
      </c>
      <c r="Q115" s="158">
        <f t="shared" si="24"/>
        <v>687.4</v>
      </c>
      <c r="R115" s="158">
        <f t="shared" si="25"/>
        <v>0</v>
      </c>
      <c r="S115" s="159">
        <f t="shared" si="26"/>
        <v>100</v>
      </c>
    </row>
    <row r="116" spans="3:19" s="6" customFormat="1" ht="66" customHeight="1">
      <c r="C116" s="52"/>
      <c r="D116" s="30"/>
      <c r="E116" s="30"/>
      <c r="F116" s="42" t="s">
        <v>624</v>
      </c>
      <c r="G116" s="138">
        <v>33.2</v>
      </c>
      <c r="H116" s="138">
        <v>33.2</v>
      </c>
      <c r="I116" s="138">
        <f t="shared" si="22"/>
        <v>100</v>
      </c>
      <c r="J116" s="142"/>
      <c r="K116" s="155"/>
      <c r="L116" s="138"/>
      <c r="M116" s="138"/>
      <c r="N116" s="112"/>
      <c r="O116" s="147"/>
      <c r="P116" s="139">
        <f t="shared" si="23"/>
        <v>33.2</v>
      </c>
      <c r="Q116" s="158">
        <f t="shared" si="24"/>
        <v>33.2</v>
      </c>
      <c r="R116" s="158">
        <f t="shared" si="25"/>
        <v>0</v>
      </c>
      <c r="S116" s="159">
        <f t="shared" si="26"/>
        <v>100</v>
      </c>
    </row>
    <row r="117" spans="3:19" s="6" customFormat="1" ht="77.25" customHeight="1">
      <c r="C117" s="52"/>
      <c r="D117" s="30"/>
      <c r="E117" s="52"/>
      <c r="F117" s="42" t="s">
        <v>570</v>
      </c>
      <c r="G117" s="138">
        <v>54.6</v>
      </c>
      <c r="H117" s="138">
        <v>54.5</v>
      </c>
      <c r="I117" s="138">
        <f t="shared" si="22"/>
        <v>99.81684981684981</v>
      </c>
      <c r="J117" s="142"/>
      <c r="K117" s="155"/>
      <c r="L117" s="138"/>
      <c r="M117" s="138"/>
      <c r="N117" s="112"/>
      <c r="O117" s="147"/>
      <c r="P117" s="139">
        <f t="shared" si="23"/>
        <v>54.6</v>
      </c>
      <c r="Q117" s="158">
        <f t="shared" si="24"/>
        <v>54.5</v>
      </c>
      <c r="R117" s="158">
        <f t="shared" si="25"/>
        <v>-0.10000000000000142</v>
      </c>
      <c r="S117" s="159">
        <f t="shared" si="26"/>
        <v>99.81684981684981</v>
      </c>
    </row>
    <row r="118" spans="3:19" s="6" customFormat="1" ht="56.25" hidden="1">
      <c r="C118" s="52"/>
      <c r="D118" s="30"/>
      <c r="E118" s="52"/>
      <c r="F118" s="42" t="s">
        <v>416</v>
      </c>
      <c r="G118" s="138"/>
      <c r="H118" s="138"/>
      <c r="I118" s="138" t="e">
        <f t="shared" si="22"/>
        <v>#DIV/0!</v>
      </c>
      <c r="J118" s="142">
        <f>K118+N118</f>
        <v>0</v>
      </c>
      <c r="K118" s="155"/>
      <c r="L118" s="138"/>
      <c r="M118" s="138"/>
      <c r="N118" s="112"/>
      <c r="O118" s="147" t="e">
        <f>L118/J118*100</f>
        <v>#DIV/0!</v>
      </c>
      <c r="P118" s="139">
        <f t="shared" si="23"/>
        <v>0</v>
      </c>
      <c r="Q118" s="158">
        <f t="shared" si="24"/>
        <v>0</v>
      </c>
      <c r="R118" s="158">
        <f t="shared" si="25"/>
        <v>0</v>
      </c>
      <c r="S118" s="159" t="e">
        <f t="shared" si="26"/>
        <v>#DIV/0!</v>
      </c>
    </row>
    <row r="119" spans="3:19" s="46" customFormat="1" ht="25.5" customHeight="1">
      <c r="C119" s="93"/>
      <c r="D119" s="28"/>
      <c r="E119" s="93"/>
      <c r="F119" s="29" t="s">
        <v>316</v>
      </c>
      <c r="G119" s="139">
        <f>G120+G121+G122+G123+G124+G126+G128+G130+G132+G133+G134+G135+G136+G137+G138+G139+G140+G141+G142+G143+G144+G145+G146+G149+G152+G154+G156+G158+G161+G167+G170+G171+G175</f>
        <v>64195.899999999994</v>
      </c>
      <c r="H119" s="139">
        <f>H120+H121+H122+H123+H124+H126+H128+H130+H132+H133+H134+H135+H136+H137+H138+H139+H140+H141+H142+H143+H144+H145+H146+H149+H152+H154+H156+H158+H161+H167+H170+H171+H175</f>
        <v>61663.799999999996</v>
      </c>
      <c r="I119" s="138">
        <f t="shared" si="22"/>
        <v>96.0556671064663</v>
      </c>
      <c r="J119" s="139">
        <f>J120+J121+J122+J123+J124+J126+J128+J130+J132+J133+J134+J135+J136+J137+J138+J139+J140+J141+J142+J143+J144+J145+J146+J149+J152+J154+J156+J158+J161+J167+J170+J171+J175</f>
        <v>255.89999999999998</v>
      </c>
      <c r="K119" s="139">
        <f>K120+K121+K122+K123+K124+K126+K128+K130+K132+K133+K134+K135+K136+K137+K138+K139+K140+K141+K142+K143+K144+K145+K146+K149+K152+K154+K156+K158+K161+K167+K170+K171+K175</f>
        <v>97.06</v>
      </c>
      <c r="L119" s="139">
        <f>L120+L121+L122+L123+L124+L126+L128+L130+L132+L133+L134+L135+L136+L137+L138+L139+L140+L141+L142+L143+L144+L145+L146+L149+L152+L154+L156+L158+L161+L167+L170+L171+L175</f>
        <v>247.2</v>
      </c>
      <c r="M119" s="139">
        <f>M120+M121+M122+M123+M124+M126+M128+M130+M132+M133+M134+M135+M136+M137+M138+M139+M140+M141+M142+M143+M144+M145+M146+M149+M152+M154+M156+M158+M161+M167+M170+M171+M175</f>
        <v>20</v>
      </c>
      <c r="N119" s="114" t="e">
        <f>#REF!+#REF!+#REF!+#REF!+N139+#REF!+N145+#REF!+#REF!+N154+N158+#REF!+#REF!+N175+N178+N170+#REF!</f>
        <v>#REF!</v>
      </c>
      <c r="O119" s="147">
        <f>L119/J119*100</f>
        <v>96.60023446658852</v>
      </c>
      <c r="P119" s="139">
        <f t="shared" si="23"/>
        <v>64451.799999999996</v>
      </c>
      <c r="Q119" s="158">
        <f t="shared" si="24"/>
        <v>61910.99999999999</v>
      </c>
      <c r="R119" s="158">
        <f t="shared" si="25"/>
        <v>-2540.800000000003</v>
      </c>
      <c r="S119" s="159">
        <f t="shared" si="26"/>
        <v>96.05782926155669</v>
      </c>
    </row>
    <row r="120" spans="3:19" s="6" customFormat="1" ht="75" customHeight="1">
      <c r="C120" s="33" t="s">
        <v>230</v>
      </c>
      <c r="D120" s="33" t="s">
        <v>124</v>
      </c>
      <c r="E120" s="33" t="s">
        <v>78</v>
      </c>
      <c r="F120" s="35" t="s">
        <v>399</v>
      </c>
      <c r="G120" s="138">
        <v>5225</v>
      </c>
      <c r="H120" s="138">
        <v>4381.4</v>
      </c>
      <c r="I120" s="138">
        <f t="shared" si="22"/>
        <v>83.85454545454544</v>
      </c>
      <c r="J120" s="138">
        <f>K120+N120</f>
        <v>0</v>
      </c>
      <c r="K120" s="151"/>
      <c r="L120" s="138"/>
      <c r="M120" s="138"/>
      <c r="N120" s="112"/>
      <c r="O120" s="147"/>
      <c r="P120" s="139">
        <f t="shared" si="23"/>
        <v>5225</v>
      </c>
      <c r="Q120" s="158">
        <f t="shared" si="24"/>
        <v>4381.4</v>
      </c>
      <c r="R120" s="158">
        <f t="shared" si="25"/>
        <v>-843.6000000000004</v>
      </c>
      <c r="S120" s="159">
        <f t="shared" si="26"/>
        <v>83.85454545454544</v>
      </c>
    </row>
    <row r="121" spans="3:19" s="37" customFormat="1" ht="57.75" customHeight="1">
      <c r="C121" s="33" t="s">
        <v>231</v>
      </c>
      <c r="D121" s="33" t="s">
        <v>77</v>
      </c>
      <c r="E121" s="33" t="s">
        <v>75</v>
      </c>
      <c r="F121" s="42" t="s">
        <v>400</v>
      </c>
      <c r="G121" s="142">
        <v>6004.8</v>
      </c>
      <c r="H121" s="142">
        <v>5505.6</v>
      </c>
      <c r="I121" s="138">
        <f t="shared" si="22"/>
        <v>91.68665067945643</v>
      </c>
      <c r="J121" s="142">
        <f>K121+N121</f>
        <v>0</v>
      </c>
      <c r="K121" s="150"/>
      <c r="L121" s="142"/>
      <c r="M121" s="142"/>
      <c r="N121" s="113"/>
      <c r="O121" s="147"/>
      <c r="P121" s="139">
        <f t="shared" si="23"/>
        <v>6004.8</v>
      </c>
      <c r="Q121" s="158">
        <f t="shared" si="24"/>
        <v>5505.6</v>
      </c>
      <c r="R121" s="158">
        <f t="shared" si="25"/>
        <v>-499.1999999999998</v>
      </c>
      <c r="S121" s="159">
        <f t="shared" si="26"/>
        <v>91.68665067945643</v>
      </c>
    </row>
    <row r="122" spans="3:19" s="37" customFormat="1" ht="85.5" customHeight="1">
      <c r="C122" s="33" t="s">
        <v>232</v>
      </c>
      <c r="D122" s="33" t="s">
        <v>79</v>
      </c>
      <c r="E122" s="33" t="s">
        <v>78</v>
      </c>
      <c r="F122" s="35" t="s">
        <v>397</v>
      </c>
      <c r="G122" s="142">
        <v>1.2</v>
      </c>
      <c r="H122" s="142">
        <v>1.2</v>
      </c>
      <c r="I122" s="138">
        <f t="shared" si="22"/>
        <v>100</v>
      </c>
      <c r="J122" s="142">
        <f>K122+N122</f>
        <v>0</v>
      </c>
      <c r="K122" s="150"/>
      <c r="L122" s="142"/>
      <c r="M122" s="142"/>
      <c r="N122" s="113"/>
      <c r="O122" s="147"/>
      <c r="P122" s="139">
        <f t="shared" si="23"/>
        <v>1.2</v>
      </c>
      <c r="Q122" s="158">
        <f t="shared" si="24"/>
        <v>1.2</v>
      </c>
      <c r="R122" s="158">
        <f t="shared" si="25"/>
        <v>0</v>
      </c>
      <c r="S122" s="159">
        <f t="shared" si="26"/>
        <v>100</v>
      </c>
    </row>
    <row r="123" spans="3:19" s="43" customFormat="1" ht="73.5" customHeight="1">
      <c r="C123" s="33" t="s">
        <v>233</v>
      </c>
      <c r="D123" s="33" t="s">
        <v>80</v>
      </c>
      <c r="E123" s="33" t="s">
        <v>75</v>
      </c>
      <c r="F123" s="42" t="s">
        <v>398</v>
      </c>
      <c r="G123" s="142">
        <v>0.2</v>
      </c>
      <c r="H123" s="142">
        <v>0.2</v>
      </c>
      <c r="I123" s="138">
        <f t="shared" si="22"/>
        <v>100</v>
      </c>
      <c r="J123" s="142">
        <f>K123+N123</f>
        <v>0</v>
      </c>
      <c r="K123" s="150"/>
      <c r="L123" s="142"/>
      <c r="M123" s="142"/>
      <c r="N123" s="113"/>
      <c r="O123" s="147"/>
      <c r="P123" s="139">
        <f t="shared" si="23"/>
        <v>0.2</v>
      </c>
      <c r="Q123" s="158">
        <f t="shared" si="24"/>
        <v>0.2</v>
      </c>
      <c r="R123" s="158">
        <f t="shared" si="25"/>
        <v>0</v>
      </c>
      <c r="S123" s="159">
        <f t="shared" si="26"/>
        <v>100</v>
      </c>
    </row>
    <row r="124" spans="2:19" s="43" customFormat="1" ht="40.5" customHeight="1">
      <c r="B124" s="86"/>
      <c r="C124" s="33" t="s">
        <v>236</v>
      </c>
      <c r="D124" s="33" t="s">
        <v>137</v>
      </c>
      <c r="E124" s="33" t="s">
        <v>78</v>
      </c>
      <c r="F124" s="42" t="s">
        <v>234</v>
      </c>
      <c r="G124" s="142">
        <f>G125</f>
        <v>18.9</v>
      </c>
      <c r="H124" s="142">
        <f aca="true" t="shared" si="29" ref="H124:N126">H125</f>
        <v>18.9</v>
      </c>
      <c r="I124" s="138">
        <f t="shared" si="22"/>
        <v>100</v>
      </c>
      <c r="J124" s="142">
        <f aca="true" t="shared" si="30" ref="J124:J129">K124+N124</f>
        <v>0</v>
      </c>
      <c r="K124" s="142">
        <f t="shared" si="29"/>
        <v>0</v>
      </c>
      <c r="L124" s="142">
        <f t="shared" si="29"/>
        <v>0</v>
      </c>
      <c r="M124" s="142">
        <f t="shared" si="29"/>
        <v>0</v>
      </c>
      <c r="N124" s="113">
        <f t="shared" si="29"/>
        <v>0</v>
      </c>
      <c r="O124" s="147"/>
      <c r="P124" s="139">
        <f t="shared" si="23"/>
        <v>18.9</v>
      </c>
      <c r="Q124" s="158">
        <f t="shared" si="24"/>
        <v>18.9</v>
      </c>
      <c r="R124" s="158">
        <f t="shared" si="25"/>
        <v>0</v>
      </c>
      <c r="S124" s="159">
        <f t="shared" si="26"/>
        <v>100</v>
      </c>
    </row>
    <row r="125" spans="2:19" s="64" customFormat="1" ht="40.5" customHeight="1">
      <c r="B125" s="68"/>
      <c r="C125" s="30"/>
      <c r="D125" s="30"/>
      <c r="E125" s="30"/>
      <c r="F125" s="35" t="s">
        <v>500</v>
      </c>
      <c r="G125" s="142">
        <v>18.9</v>
      </c>
      <c r="H125" s="142">
        <v>18.9</v>
      </c>
      <c r="I125" s="138">
        <f t="shared" si="22"/>
        <v>100</v>
      </c>
      <c r="J125" s="142">
        <f t="shared" si="30"/>
        <v>0</v>
      </c>
      <c r="K125" s="150"/>
      <c r="L125" s="142"/>
      <c r="M125" s="142"/>
      <c r="N125" s="113"/>
      <c r="O125" s="147"/>
      <c r="P125" s="139">
        <f t="shared" si="23"/>
        <v>18.9</v>
      </c>
      <c r="Q125" s="158">
        <f t="shared" si="24"/>
        <v>18.9</v>
      </c>
      <c r="R125" s="158">
        <f t="shared" si="25"/>
        <v>0</v>
      </c>
      <c r="S125" s="159">
        <f t="shared" si="26"/>
        <v>100</v>
      </c>
    </row>
    <row r="126" spans="2:19" s="43" customFormat="1" ht="42.75" customHeight="1">
      <c r="B126" s="86"/>
      <c r="C126" s="33" t="s">
        <v>237</v>
      </c>
      <c r="D126" s="33" t="s">
        <v>238</v>
      </c>
      <c r="E126" s="33" t="s">
        <v>73</v>
      </c>
      <c r="F126" s="42" t="s">
        <v>235</v>
      </c>
      <c r="G126" s="142">
        <f>G127</f>
        <v>168.9</v>
      </c>
      <c r="H126" s="142">
        <f t="shared" si="29"/>
        <v>168.9</v>
      </c>
      <c r="I126" s="138">
        <f t="shared" si="22"/>
        <v>100</v>
      </c>
      <c r="J126" s="142">
        <f t="shared" si="30"/>
        <v>0</v>
      </c>
      <c r="K126" s="142">
        <f t="shared" si="29"/>
        <v>0</v>
      </c>
      <c r="L126" s="142">
        <f t="shared" si="29"/>
        <v>0</v>
      </c>
      <c r="M126" s="142">
        <f t="shared" si="29"/>
        <v>0</v>
      </c>
      <c r="N126" s="113">
        <f t="shared" si="29"/>
        <v>0</v>
      </c>
      <c r="O126" s="147"/>
      <c r="P126" s="139">
        <f t="shared" si="23"/>
        <v>168.9</v>
      </c>
      <c r="Q126" s="158">
        <f t="shared" si="24"/>
        <v>168.9</v>
      </c>
      <c r="R126" s="158">
        <f t="shared" si="25"/>
        <v>0</v>
      </c>
      <c r="S126" s="159">
        <f t="shared" si="26"/>
        <v>100</v>
      </c>
    </row>
    <row r="127" spans="2:19" s="43" customFormat="1" ht="42.75" customHeight="1">
      <c r="B127" s="86"/>
      <c r="C127" s="33"/>
      <c r="D127" s="33"/>
      <c r="E127" s="33"/>
      <c r="F127" s="42" t="s">
        <v>500</v>
      </c>
      <c r="G127" s="142">
        <v>168.9</v>
      </c>
      <c r="H127" s="142">
        <v>168.9</v>
      </c>
      <c r="I127" s="138">
        <f t="shared" si="22"/>
        <v>100</v>
      </c>
      <c r="J127" s="142">
        <f t="shared" si="30"/>
        <v>0</v>
      </c>
      <c r="K127" s="150"/>
      <c r="L127" s="142"/>
      <c r="M127" s="142"/>
      <c r="N127" s="113"/>
      <c r="O127" s="147"/>
      <c r="P127" s="139">
        <f t="shared" si="23"/>
        <v>168.9</v>
      </c>
      <c r="Q127" s="158">
        <f t="shared" si="24"/>
        <v>168.9</v>
      </c>
      <c r="R127" s="158">
        <f t="shared" si="25"/>
        <v>0</v>
      </c>
      <c r="S127" s="159">
        <f t="shared" si="26"/>
        <v>100</v>
      </c>
    </row>
    <row r="128" spans="3:19" s="37" customFormat="1" ht="60.75" customHeight="1">
      <c r="C128" s="33" t="s">
        <v>240</v>
      </c>
      <c r="D128" s="33" t="s">
        <v>126</v>
      </c>
      <c r="E128" s="33" t="s">
        <v>73</v>
      </c>
      <c r="F128" s="35" t="s">
        <v>239</v>
      </c>
      <c r="G128" s="142">
        <f>G129</f>
        <v>2421.3</v>
      </c>
      <c r="H128" s="142">
        <f>H129</f>
        <v>2420.7</v>
      </c>
      <c r="I128" s="138">
        <f t="shared" si="22"/>
        <v>99.97521992318174</v>
      </c>
      <c r="J128" s="142">
        <f t="shared" si="30"/>
        <v>0</v>
      </c>
      <c r="K128" s="142">
        <f>SUM(K129:K129)</f>
        <v>0</v>
      </c>
      <c r="L128" s="142">
        <f>SUM(L129:L129)</f>
        <v>0</v>
      </c>
      <c r="M128" s="142">
        <f>SUM(M129:M129)</f>
        <v>0</v>
      </c>
      <c r="N128" s="113">
        <f>SUM(N129:N129)</f>
        <v>0</v>
      </c>
      <c r="O128" s="147"/>
      <c r="P128" s="139">
        <f t="shared" si="23"/>
        <v>2421.3</v>
      </c>
      <c r="Q128" s="158">
        <f t="shared" si="24"/>
        <v>2420.7</v>
      </c>
      <c r="R128" s="158">
        <f t="shared" si="25"/>
        <v>-0.6000000000003638</v>
      </c>
      <c r="S128" s="159">
        <f t="shared" si="26"/>
        <v>99.97521992318174</v>
      </c>
    </row>
    <row r="129" spans="3:19" s="37" customFormat="1" ht="40.5" customHeight="1">
      <c r="C129" s="33"/>
      <c r="D129" s="33"/>
      <c r="E129" s="33"/>
      <c r="F129" s="42" t="s">
        <v>500</v>
      </c>
      <c r="G129" s="142">
        <v>2421.3</v>
      </c>
      <c r="H129" s="142">
        <v>2420.7</v>
      </c>
      <c r="I129" s="138">
        <f t="shared" si="22"/>
        <v>99.97521992318174</v>
      </c>
      <c r="J129" s="142">
        <f t="shared" si="30"/>
        <v>0</v>
      </c>
      <c r="K129" s="150"/>
      <c r="L129" s="142"/>
      <c r="M129" s="142"/>
      <c r="N129" s="113"/>
      <c r="O129" s="147"/>
      <c r="P129" s="139">
        <f t="shared" si="23"/>
        <v>2421.3</v>
      </c>
      <c r="Q129" s="158">
        <f t="shared" si="24"/>
        <v>2420.7</v>
      </c>
      <c r="R129" s="158">
        <f t="shared" si="25"/>
        <v>-0.6000000000003638</v>
      </c>
      <c r="S129" s="159">
        <f t="shared" si="26"/>
        <v>99.97521992318174</v>
      </c>
    </row>
    <row r="130" spans="3:19" s="37" customFormat="1" ht="46.5" customHeight="1">
      <c r="C130" s="33" t="s">
        <v>242</v>
      </c>
      <c r="D130" s="33" t="s">
        <v>81</v>
      </c>
      <c r="E130" s="33" t="s">
        <v>73</v>
      </c>
      <c r="F130" s="35" t="s">
        <v>241</v>
      </c>
      <c r="G130" s="142">
        <f aca="true" t="shared" si="31" ref="G130:N130">G131</f>
        <v>70</v>
      </c>
      <c r="H130" s="142">
        <f t="shared" si="31"/>
        <v>69.6</v>
      </c>
      <c r="I130" s="138">
        <f t="shared" si="22"/>
        <v>99.42857142857142</v>
      </c>
      <c r="J130" s="142">
        <f t="shared" si="31"/>
        <v>0</v>
      </c>
      <c r="K130" s="142">
        <f t="shared" si="31"/>
        <v>0</v>
      </c>
      <c r="L130" s="142">
        <f t="shared" si="31"/>
        <v>0</v>
      </c>
      <c r="M130" s="142">
        <f t="shared" si="31"/>
        <v>0</v>
      </c>
      <c r="N130" s="113">
        <f t="shared" si="31"/>
        <v>0</v>
      </c>
      <c r="O130" s="147"/>
      <c r="P130" s="139">
        <f t="shared" si="23"/>
        <v>70</v>
      </c>
      <c r="Q130" s="158">
        <f t="shared" si="24"/>
        <v>69.6</v>
      </c>
      <c r="R130" s="158">
        <f t="shared" si="25"/>
        <v>-0.4000000000000057</v>
      </c>
      <c r="S130" s="159">
        <f t="shared" si="26"/>
        <v>99.42857142857142</v>
      </c>
    </row>
    <row r="131" spans="3:19" s="37" customFormat="1" ht="42" customHeight="1">
      <c r="C131" s="33"/>
      <c r="D131" s="33"/>
      <c r="E131" s="33"/>
      <c r="F131" s="42" t="s">
        <v>500</v>
      </c>
      <c r="G131" s="142">
        <v>70</v>
      </c>
      <c r="H131" s="142">
        <v>69.6</v>
      </c>
      <c r="I131" s="138">
        <f t="shared" si="22"/>
        <v>99.42857142857142</v>
      </c>
      <c r="J131" s="142">
        <f>K131+N131</f>
        <v>0</v>
      </c>
      <c r="K131" s="150"/>
      <c r="L131" s="142"/>
      <c r="M131" s="142"/>
      <c r="N131" s="113"/>
      <c r="O131" s="147"/>
      <c r="P131" s="139">
        <f t="shared" si="23"/>
        <v>70</v>
      </c>
      <c r="Q131" s="158">
        <f t="shared" si="24"/>
        <v>69.6</v>
      </c>
      <c r="R131" s="158">
        <f t="shared" si="25"/>
        <v>-0.4000000000000057</v>
      </c>
      <c r="S131" s="159">
        <f t="shared" si="26"/>
        <v>99.42857142857142</v>
      </c>
    </row>
    <row r="132" spans="3:19" s="37" customFormat="1" ht="20.25" customHeight="1">
      <c r="C132" s="33" t="s">
        <v>246</v>
      </c>
      <c r="D132" s="33" t="s">
        <v>83</v>
      </c>
      <c r="E132" s="33" t="s">
        <v>74</v>
      </c>
      <c r="F132" s="42" t="s">
        <v>243</v>
      </c>
      <c r="G132" s="142">
        <v>336.2</v>
      </c>
      <c r="H132" s="142">
        <v>296</v>
      </c>
      <c r="I132" s="138">
        <f t="shared" si="22"/>
        <v>88.04283164782868</v>
      </c>
      <c r="J132" s="142">
        <f aca="true" t="shared" si="32" ref="J132:J145">K132+N132</f>
        <v>0</v>
      </c>
      <c r="K132" s="150"/>
      <c r="L132" s="142"/>
      <c r="M132" s="142"/>
      <c r="N132" s="113"/>
      <c r="O132" s="147"/>
      <c r="P132" s="139">
        <f t="shared" si="23"/>
        <v>336.2</v>
      </c>
      <c r="Q132" s="158">
        <f t="shared" si="24"/>
        <v>296</v>
      </c>
      <c r="R132" s="158">
        <f t="shared" si="25"/>
        <v>-40.19999999999999</v>
      </c>
      <c r="S132" s="159">
        <f t="shared" si="26"/>
        <v>88.04283164782868</v>
      </c>
    </row>
    <row r="133" spans="3:19" s="37" customFormat="1" ht="24.75" customHeight="1">
      <c r="C133" s="33" t="s">
        <v>247</v>
      </c>
      <c r="D133" s="33" t="s">
        <v>84</v>
      </c>
      <c r="E133" s="33" t="s">
        <v>74</v>
      </c>
      <c r="F133" s="42" t="s">
        <v>255</v>
      </c>
      <c r="G133" s="142">
        <v>193.1</v>
      </c>
      <c r="H133" s="142">
        <v>52.5</v>
      </c>
      <c r="I133" s="138">
        <f t="shared" si="22"/>
        <v>27.187985499741067</v>
      </c>
      <c r="J133" s="142">
        <f t="shared" si="32"/>
        <v>0</v>
      </c>
      <c r="K133" s="150"/>
      <c r="L133" s="142"/>
      <c r="M133" s="142"/>
      <c r="N133" s="113"/>
      <c r="O133" s="147"/>
      <c r="P133" s="139">
        <f t="shared" si="23"/>
        <v>193.1</v>
      </c>
      <c r="Q133" s="158">
        <f t="shared" si="24"/>
        <v>52.5</v>
      </c>
      <c r="R133" s="158">
        <f t="shared" si="25"/>
        <v>-140.6</v>
      </c>
      <c r="S133" s="159">
        <f t="shared" si="26"/>
        <v>27.187985499741067</v>
      </c>
    </row>
    <row r="134" spans="3:19" s="37" customFormat="1" ht="22.5" customHeight="1">
      <c r="C134" s="33" t="s">
        <v>248</v>
      </c>
      <c r="D134" s="33" t="s">
        <v>85</v>
      </c>
      <c r="E134" s="33" t="s">
        <v>74</v>
      </c>
      <c r="F134" s="42" t="s">
        <v>244</v>
      </c>
      <c r="G134" s="142">
        <v>17164.3</v>
      </c>
      <c r="H134" s="142">
        <v>16388</v>
      </c>
      <c r="I134" s="138">
        <f t="shared" si="22"/>
        <v>95.47724055161004</v>
      </c>
      <c r="J134" s="142">
        <f t="shared" si="32"/>
        <v>0</v>
      </c>
      <c r="K134" s="150"/>
      <c r="L134" s="142"/>
      <c r="M134" s="142"/>
      <c r="N134" s="113"/>
      <c r="O134" s="147"/>
      <c r="P134" s="139">
        <f t="shared" si="23"/>
        <v>17164.3</v>
      </c>
      <c r="Q134" s="158">
        <f t="shared" si="24"/>
        <v>16388</v>
      </c>
      <c r="R134" s="158">
        <f t="shared" si="25"/>
        <v>-776.2999999999993</v>
      </c>
      <c r="S134" s="159">
        <f t="shared" si="26"/>
        <v>95.47724055161004</v>
      </c>
    </row>
    <row r="135" spans="3:19" s="37" customFormat="1" ht="41.25" customHeight="1">
      <c r="C135" s="33" t="s">
        <v>249</v>
      </c>
      <c r="D135" s="33" t="s">
        <v>86</v>
      </c>
      <c r="E135" s="33" t="s">
        <v>74</v>
      </c>
      <c r="F135" s="42" t="s">
        <v>245</v>
      </c>
      <c r="G135" s="142">
        <v>3096.4</v>
      </c>
      <c r="H135" s="142">
        <v>3096.3</v>
      </c>
      <c r="I135" s="138">
        <f t="shared" si="22"/>
        <v>99.9967704430952</v>
      </c>
      <c r="J135" s="142">
        <f t="shared" si="32"/>
        <v>0</v>
      </c>
      <c r="K135" s="150"/>
      <c r="L135" s="142"/>
      <c r="M135" s="142"/>
      <c r="N135" s="113"/>
      <c r="O135" s="147"/>
      <c r="P135" s="139">
        <f t="shared" si="23"/>
        <v>3096.4</v>
      </c>
      <c r="Q135" s="158">
        <f t="shared" si="24"/>
        <v>3096.3</v>
      </c>
      <c r="R135" s="158">
        <f t="shared" si="25"/>
        <v>-0.09999999999990905</v>
      </c>
      <c r="S135" s="159">
        <f t="shared" si="26"/>
        <v>99.9967704430952</v>
      </c>
    </row>
    <row r="136" spans="3:19" s="37" customFormat="1" ht="23.25" customHeight="1">
      <c r="C136" s="33" t="s">
        <v>250</v>
      </c>
      <c r="D136" s="33" t="s">
        <v>87</v>
      </c>
      <c r="E136" s="33" t="s">
        <v>74</v>
      </c>
      <c r="F136" s="42" t="s">
        <v>253</v>
      </c>
      <c r="G136" s="142">
        <v>3521.1</v>
      </c>
      <c r="H136" s="142">
        <v>3517.2</v>
      </c>
      <c r="I136" s="138">
        <f t="shared" si="22"/>
        <v>99.8892391582176</v>
      </c>
      <c r="J136" s="142">
        <f t="shared" si="32"/>
        <v>0</v>
      </c>
      <c r="K136" s="150"/>
      <c r="L136" s="142"/>
      <c r="M136" s="142"/>
      <c r="N136" s="113"/>
      <c r="O136" s="147"/>
      <c r="P136" s="139">
        <f t="shared" si="23"/>
        <v>3521.1</v>
      </c>
      <c r="Q136" s="158">
        <f t="shared" si="24"/>
        <v>3517.2</v>
      </c>
      <c r="R136" s="158">
        <f t="shared" si="25"/>
        <v>-3.900000000000091</v>
      </c>
      <c r="S136" s="159">
        <f t="shared" si="26"/>
        <v>99.8892391582176</v>
      </c>
    </row>
    <row r="137" spans="3:19" s="37" customFormat="1" ht="23.25" customHeight="1">
      <c r="C137" s="33" t="s">
        <v>251</v>
      </c>
      <c r="D137" s="33" t="s">
        <v>88</v>
      </c>
      <c r="E137" s="33" t="s">
        <v>74</v>
      </c>
      <c r="F137" s="42" t="s">
        <v>254</v>
      </c>
      <c r="G137" s="142">
        <v>101.4</v>
      </c>
      <c r="H137" s="142">
        <v>87.7</v>
      </c>
      <c r="I137" s="138">
        <f t="shared" si="22"/>
        <v>86.48915187376726</v>
      </c>
      <c r="J137" s="142">
        <f t="shared" si="32"/>
        <v>0</v>
      </c>
      <c r="K137" s="150"/>
      <c r="L137" s="142"/>
      <c r="M137" s="142"/>
      <c r="N137" s="113"/>
      <c r="O137" s="147"/>
      <c r="P137" s="139">
        <f t="shared" si="23"/>
        <v>101.4</v>
      </c>
      <c r="Q137" s="158">
        <f t="shared" si="24"/>
        <v>87.7</v>
      </c>
      <c r="R137" s="158">
        <f t="shared" si="25"/>
        <v>-13.700000000000003</v>
      </c>
      <c r="S137" s="159">
        <f t="shared" si="26"/>
        <v>86.48915187376726</v>
      </c>
    </row>
    <row r="138" spans="3:19" s="37" customFormat="1" ht="38.25" customHeight="1">
      <c r="C138" s="33" t="s">
        <v>252</v>
      </c>
      <c r="D138" s="33" t="s">
        <v>89</v>
      </c>
      <c r="E138" s="33" t="s">
        <v>74</v>
      </c>
      <c r="F138" s="42" t="s">
        <v>418</v>
      </c>
      <c r="G138" s="142">
        <v>5663.2</v>
      </c>
      <c r="H138" s="142">
        <v>5663.2</v>
      </c>
      <c r="I138" s="138">
        <f t="shared" si="22"/>
        <v>100</v>
      </c>
      <c r="J138" s="142">
        <f t="shared" si="32"/>
        <v>0</v>
      </c>
      <c r="K138" s="150"/>
      <c r="L138" s="142"/>
      <c r="M138" s="142"/>
      <c r="N138" s="113"/>
      <c r="O138" s="147"/>
      <c r="P138" s="139">
        <f t="shared" si="23"/>
        <v>5663.2</v>
      </c>
      <c r="Q138" s="158">
        <f t="shared" si="24"/>
        <v>5663.2</v>
      </c>
      <c r="R138" s="158">
        <f t="shared" si="25"/>
        <v>0</v>
      </c>
      <c r="S138" s="159">
        <f t="shared" si="26"/>
        <v>100</v>
      </c>
    </row>
    <row r="139" spans="1:19" s="6" customFormat="1" ht="63.75" customHeight="1">
      <c r="A139" s="6">
        <v>5</v>
      </c>
      <c r="B139" s="6">
        <v>26</v>
      </c>
      <c r="C139" s="30" t="s">
        <v>256</v>
      </c>
      <c r="D139" s="30" t="s">
        <v>90</v>
      </c>
      <c r="E139" s="30" t="s">
        <v>73</v>
      </c>
      <c r="F139" s="41" t="s">
        <v>122</v>
      </c>
      <c r="G139" s="138">
        <v>250.1</v>
      </c>
      <c r="H139" s="138">
        <v>250.1</v>
      </c>
      <c r="I139" s="138">
        <f t="shared" si="22"/>
        <v>100</v>
      </c>
      <c r="J139" s="138">
        <f>K139+N139</f>
        <v>0</v>
      </c>
      <c r="K139" s="151"/>
      <c r="L139" s="138"/>
      <c r="M139" s="138"/>
      <c r="N139" s="112"/>
      <c r="O139" s="147"/>
      <c r="P139" s="139">
        <f t="shared" si="23"/>
        <v>250.1</v>
      </c>
      <c r="Q139" s="158">
        <f t="shared" si="24"/>
        <v>250.1</v>
      </c>
      <c r="R139" s="158">
        <f t="shared" si="25"/>
        <v>0</v>
      </c>
      <c r="S139" s="159">
        <f t="shared" si="26"/>
        <v>100</v>
      </c>
    </row>
    <row r="140" spans="3:19" s="37" customFormat="1" ht="55.5" customHeight="1">
      <c r="C140" s="33" t="s">
        <v>420</v>
      </c>
      <c r="D140" s="33" t="s">
        <v>421</v>
      </c>
      <c r="E140" s="33" t="s">
        <v>65</v>
      </c>
      <c r="F140" s="35" t="s">
        <v>419</v>
      </c>
      <c r="G140" s="142">
        <v>6026.1</v>
      </c>
      <c r="H140" s="142">
        <v>6024.5</v>
      </c>
      <c r="I140" s="138">
        <f t="shared" si="22"/>
        <v>99.97344883091883</v>
      </c>
      <c r="J140" s="142">
        <f t="shared" si="32"/>
        <v>0</v>
      </c>
      <c r="K140" s="142"/>
      <c r="L140" s="142"/>
      <c r="M140" s="142"/>
      <c r="N140" s="113"/>
      <c r="O140" s="147"/>
      <c r="P140" s="139">
        <f t="shared" si="23"/>
        <v>6026.1</v>
      </c>
      <c r="Q140" s="158">
        <f t="shared" si="24"/>
        <v>6024.5</v>
      </c>
      <c r="R140" s="158">
        <f t="shared" si="25"/>
        <v>-1.6000000000003638</v>
      </c>
      <c r="S140" s="159">
        <f t="shared" si="26"/>
        <v>99.97344883091883</v>
      </c>
    </row>
    <row r="141" spans="3:19" s="37" customFormat="1" ht="67.5" customHeight="1">
      <c r="C141" s="33" t="s">
        <v>480</v>
      </c>
      <c r="D141" s="33" t="s">
        <v>481</v>
      </c>
      <c r="E141" s="33" t="s">
        <v>65</v>
      </c>
      <c r="F141" s="35" t="s">
        <v>486</v>
      </c>
      <c r="G141" s="142">
        <v>1855.6</v>
      </c>
      <c r="H141" s="142">
        <v>1850.9</v>
      </c>
      <c r="I141" s="138">
        <f t="shared" si="22"/>
        <v>99.74671265358914</v>
      </c>
      <c r="J141" s="142"/>
      <c r="K141" s="142"/>
      <c r="L141" s="142"/>
      <c r="M141" s="142"/>
      <c r="N141" s="113"/>
      <c r="O141" s="147"/>
      <c r="P141" s="139">
        <f t="shared" si="23"/>
        <v>1855.6</v>
      </c>
      <c r="Q141" s="158">
        <f t="shared" si="24"/>
        <v>1850.9</v>
      </c>
      <c r="R141" s="158">
        <f t="shared" si="25"/>
        <v>-4.699999999999818</v>
      </c>
      <c r="S141" s="159">
        <f t="shared" si="26"/>
        <v>99.74671265358914</v>
      </c>
    </row>
    <row r="142" spans="3:19" s="37" customFormat="1" ht="55.5" customHeight="1">
      <c r="C142" s="33" t="s">
        <v>470</v>
      </c>
      <c r="D142" s="33" t="s">
        <v>469</v>
      </c>
      <c r="E142" s="33" t="s">
        <v>65</v>
      </c>
      <c r="F142" s="35" t="s">
        <v>422</v>
      </c>
      <c r="G142" s="142">
        <v>211.7</v>
      </c>
      <c r="H142" s="142">
        <v>204</v>
      </c>
      <c r="I142" s="138">
        <f t="shared" si="22"/>
        <v>96.36277751535192</v>
      </c>
      <c r="J142" s="142">
        <f t="shared" si="32"/>
        <v>0</v>
      </c>
      <c r="K142" s="142"/>
      <c r="L142" s="142"/>
      <c r="M142" s="142"/>
      <c r="N142" s="113"/>
      <c r="O142" s="147"/>
      <c r="P142" s="139">
        <f t="shared" si="23"/>
        <v>211.7</v>
      </c>
      <c r="Q142" s="158">
        <f t="shared" si="24"/>
        <v>204</v>
      </c>
      <c r="R142" s="158">
        <f t="shared" si="25"/>
        <v>-7.699999999999989</v>
      </c>
      <c r="S142" s="159">
        <f t="shared" si="26"/>
        <v>96.36277751535192</v>
      </c>
    </row>
    <row r="143" spans="3:19" s="37" customFormat="1" ht="64.5" customHeight="1">
      <c r="C143" s="33" t="s">
        <v>586</v>
      </c>
      <c r="D143" s="33" t="s">
        <v>587</v>
      </c>
      <c r="E143" s="33" t="s">
        <v>65</v>
      </c>
      <c r="F143" s="35" t="s">
        <v>585</v>
      </c>
      <c r="G143" s="142">
        <v>180</v>
      </c>
      <c r="H143" s="142">
        <v>50.8</v>
      </c>
      <c r="I143" s="138">
        <f aca="true" t="shared" si="33" ref="I143:I207">H143/G143*100</f>
        <v>28.22222222222222</v>
      </c>
      <c r="J143" s="142">
        <f t="shared" si="32"/>
        <v>0</v>
      </c>
      <c r="K143" s="142"/>
      <c r="L143" s="142"/>
      <c r="M143" s="142"/>
      <c r="N143" s="113"/>
      <c r="O143" s="147"/>
      <c r="P143" s="139">
        <f aca="true" t="shared" si="34" ref="P143:P207">G143+J143</f>
        <v>180</v>
      </c>
      <c r="Q143" s="158">
        <f aca="true" t="shared" si="35" ref="Q143:Q207">H143+L143</f>
        <v>50.8</v>
      </c>
      <c r="R143" s="158">
        <f aca="true" t="shared" si="36" ref="R143:R207">Q143-P143</f>
        <v>-129.2</v>
      </c>
      <c r="S143" s="159">
        <f aca="true" t="shared" si="37" ref="S143:S207">Q143/P143*100</f>
        <v>28.22222222222222</v>
      </c>
    </row>
    <row r="144" spans="3:19" s="37" customFormat="1" ht="84" customHeight="1">
      <c r="C144" s="33" t="s">
        <v>471</v>
      </c>
      <c r="D144" s="33" t="s">
        <v>472</v>
      </c>
      <c r="E144" s="33" t="s">
        <v>65</v>
      </c>
      <c r="F144" s="35" t="s">
        <v>473</v>
      </c>
      <c r="G144" s="142">
        <v>1</v>
      </c>
      <c r="H144" s="142">
        <v>0.9</v>
      </c>
      <c r="I144" s="138">
        <f t="shared" si="33"/>
        <v>90</v>
      </c>
      <c r="J144" s="142">
        <f t="shared" si="32"/>
        <v>0</v>
      </c>
      <c r="K144" s="142"/>
      <c r="L144" s="142"/>
      <c r="M144" s="142"/>
      <c r="N144" s="113"/>
      <c r="O144" s="147"/>
      <c r="P144" s="139">
        <f t="shared" si="34"/>
        <v>1</v>
      </c>
      <c r="Q144" s="158">
        <f t="shared" si="35"/>
        <v>0.9</v>
      </c>
      <c r="R144" s="158">
        <f t="shared" si="36"/>
        <v>-0.09999999999999998</v>
      </c>
      <c r="S144" s="159">
        <f t="shared" si="37"/>
        <v>90</v>
      </c>
    </row>
    <row r="145" spans="1:19" s="6" customFormat="1" ht="64.5" customHeight="1">
      <c r="A145" s="6">
        <v>7</v>
      </c>
      <c r="B145" s="6">
        <v>28</v>
      </c>
      <c r="C145" s="30" t="s">
        <v>257</v>
      </c>
      <c r="D145" s="30" t="s">
        <v>91</v>
      </c>
      <c r="E145" s="30" t="s">
        <v>78</v>
      </c>
      <c r="F145" s="31" t="s">
        <v>474</v>
      </c>
      <c r="G145" s="138">
        <v>8.3</v>
      </c>
      <c r="H145" s="138">
        <v>4.9</v>
      </c>
      <c r="I145" s="138">
        <f t="shared" si="33"/>
        <v>59.036144578313255</v>
      </c>
      <c r="J145" s="138">
        <f t="shared" si="32"/>
        <v>0</v>
      </c>
      <c r="K145" s="151"/>
      <c r="L145" s="138"/>
      <c r="M145" s="138"/>
      <c r="N145" s="112"/>
      <c r="O145" s="147"/>
      <c r="P145" s="139">
        <f t="shared" si="34"/>
        <v>8.3</v>
      </c>
      <c r="Q145" s="158">
        <f t="shared" si="35"/>
        <v>4.9</v>
      </c>
      <c r="R145" s="158">
        <f t="shared" si="36"/>
        <v>-3.4000000000000004</v>
      </c>
      <c r="S145" s="159">
        <f t="shared" si="37"/>
        <v>59.036144578313255</v>
      </c>
    </row>
    <row r="146" spans="3:19" s="37" customFormat="1" ht="81" customHeight="1">
      <c r="C146" s="33" t="s">
        <v>258</v>
      </c>
      <c r="D146" s="33" t="s">
        <v>92</v>
      </c>
      <c r="E146" s="33" t="s">
        <v>67</v>
      </c>
      <c r="F146" s="42" t="s">
        <v>578</v>
      </c>
      <c r="G146" s="142">
        <f>SUM(G147:G148)</f>
        <v>5469.4</v>
      </c>
      <c r="H146" s="142">
        <f>SUM(H147:H148)</f>
        <v>5461.5</v>
      </c>
      <c r="I146" s="138">
        <f t="shared" si="33"/>
        <v>99.85556002486562</v>
      </c>
      <c r="J146" s="142">
        <f>SUM(J147:J148)</f>
        <v>162.5</v>
      </c>
      <c r="K146" s="142">
        <f>SUM(K147:K148)</f>
        <v>97.06</v>
      </c>
      <c r="L146" s="142">
        <f>SUM(L147:L148)</f>
        <v>161.4</v>
      </c>
      <c r="M146" s="142">
        <f>SUM(M147:M148)</f>
        <v>20</v>
      </c>
      <c r="N146" s="113">
        <f>SUM(N147:N148)</f>
        <v>10</v>
      </c>
      <c r="O146" s="147">
        <f>L146/J146*100</f>
        <v>99.32307692307693</v>
      </c>
      <c r="P146" s="139">
        <f t="shared" si="34"/>
        <v>5631.9</v>
      </c>
      <c r="Q146" s="158">
        <f t="shared" si="35"/>
        <v>5622.9</v>
      </c>
      <c r="R146" s="158">
        <f t="shared" si="36"/>
        <v>-9</v>
      </c>
      <c r="S146" s="159">
        <f t="shared" si="37"/>
        <v>99.84019602620785</v>
      </c>
    </row>
    <row r="147" spans="3:19" s="37" customFormat="1" ht="59.25" customHeight="1">
      <c r="C147" s="33"/>
      <c r="D147" s="33"/>
      <c r="E147" s="33"/>
      <c r="F147" s="42" t="s">
        <v>152</v>
      </c>
      <c r="G147" s="142">
        <v>5439.9</v>
      </c>
      <c r="H147" s="142">
        <v>5432</v>
      </c>
      <c r="I147" s="138">
        <f t="shared" si="33"/>
        <v>99.85477674221953</v>
      </c>
      <c r="J147" s="152">
        <f>134.9+7.6</f>
        <v>142.5</v>
      </c>
      <c r="K147" s="142">
        <f>94.31+2.75</f>
        <v>97.06</v>
      </c>
      <c r="L147" s="142">
        <f>133.8+7.6</f>
        <v>141.4</v>
      </c>
      <c r="M147" s="142"/>
      <c r="N147" s="113">
        <v>0</v>
      </c>
      <c r="O147" s="147">
        <f>L147/J147*100</f>
        <v>99.2280701754386</v>
      </c>
      <c r="P147" s="139">
        <f t="shared" si="34"/>
        <v>5582.4</v>
      </c>
      <c r="Q147" s="158">
        <f t="shared" si="35"/>
        <v>5573.4</v>
      </c>
      <c r="R147" s="158">
        <f t="shared" si="36"/>
        <v>-9</v>
      </c>
      <c r="S147" s="159">
        <f t="shared" si="37"/>
        <v>99.83877901977644</v>
      </c>
    </row>
    <row r="148" spans="3:19" s="37" customFormat="1" ht="48" customHeight="1">
      <c r="C148" s="33"/>
      <c r="D148" s="33"/>
      <c r="E148" s="33"/>
      <c r="F148" s="42" t="s">
        <v>573</v>
      </c>
      <c r="G148" s="142">
        <v>29.5</v>
      </c>
      <c r="H148" s="142">
        <v>29.5</v>
      </c>
      <c r="I148" s="138">
        <f t="shared" si="33"/>
        <v>100</v>
      </c>
      <c r="J148" s="152">
        <v>20</v>
      </c>
      <c r="K148" s="142"/>
      <c r="L148" s="142">
        <v>20</v>
      </c>
      <c r="M148" s="142">
        <v>20</v>
      </c>
      <c r="N148" s="113">
        <v>10</v>
      </c>
      <c r="O148" s="147">
        <f>L148/J148*100</f>
        <v>100</v>
      </c>
      <c r="P148" s="139">
        <f t="shared" si="34"/>
        <v>49.5</v>
      </c>
      <c r="Q148" s="158">
        <f t="shared" si="35"/>
        <v>49.5</v>
      </c>
      <c r="R148" s="158">
        <f t="shared" si="36"/>
        <v>0</v>
      </c>
      <c r="S148" s="159">
        <f t="shared" si="37"/>
        <v>100</v>
      </c>
    </row>
    <row r="149" spans="3:19" s="37" customFormat="1" ht="45" customHeight="1">
      <c r="C149" s="33" t="s">
        <v>478</v>
      </c>
      <c r="D149" s="33" t="s">
        <v>260</v>
      </c>
      <c r="E149" s="33" t="s">
        <v>74</v>
      </c>
      <c r="F149" s="42" t="s">
        <v>259</v>
      </c>
      <c r="G149" s="142">
        <f>G150+G151</f>
        <v>1232</v>
      </c>
      <c r="H149" s="142">
        <f>H150+H151</f>
        <v>1231.7</v>
      </c>
      <c r="I149" s="138">
        <f t="shared" si="33"/>
        <v>99.97564935064935</v>
      </c>
      <c r="J149" s="142">
        <f>J150</f>
        <v>0.1</v>
      </c>
      <c r="K149" s="142">
        <f>K150+K153</f>
        <v>0</v>
      </c>
      <c r="L149" s="142">
        <f>L150+L153</f>
        <v>0.1</v>
      </c>
      <c r="M149" s="142">
        <f>M150+M153</f>
        <v>0</v>
      </c>
      <c r="N149" s="113">
        <f>N150+N153</f>
        <v>0</v>
      </c>
      <c r="O149" s="147"/>
      <c r="P149" s="139">
        <f t="shared" si="34"/>
        <v>1232.1</v>
      </c>
      <c r="Q149" s="158">
        <f t="shared" si="35"/>
        <v>1231.8</v>
      </c>
      <c r="R149" s="158">
        <f t="shared" si="36"/>
        <v>-0.2999999999999545</v>
      </c>
      <c r="S149" s="159">
        <f t="shared" si="37"/>
        <v>99.97565132700268</v>
      </c>
    </row>
    <row r="150" spans="3:19" s="37" customFormat="1" ht="45" customHeight="1">
      <c r="C150" s="33"/>
      <c r="D150" s="33"/>
      <c r="E150" s="33"/>
      <c r="F150" s="42" t="s">
        <v>261</v>
      </c>
      <c r="G150" s="142">
        <v>1219.2</v>
      </c>
      <c r="H150" s="142">
        <v>1218.9</v>
      </c>
      <c r="I150" s="138">
        <f t="shared" si="33"/>
        <v>99.97539370078741</v>
      </c>
      <c r="J150" s="142">
        <f>0.1</f>
        <v>0.1</v>
      </c>
      <c r="K150" s="146"/>
      <c r="L150" s="146">
        <v>0.1</v>
      </c>
      <c r="M150" s="146"/>
      <c r="N150" s="113"/>
      <c r="O150" s="147"/>
      <c r="P150" s="139">
        <f t="shared" si="34"/>
        <v>1219.3</v>
      </c>
      <c r="Q150" s="158">
        <f t="shared" si="35"/>
        <v>1219</v>
      </c>
      <c r="R150" s="158">
        <f t="shared" si="36"/>
        <v>-0.2999999999999545</v>
      </c>
      <c r="S150" s="159">
        <f t="shared" si="37"/>
        <v>99.97539571885508</v>
      </c>
    </row>
    <row r="151" spans="3:19" s="37" customFormat="1" ht="45" customHeight="1">
      <c r="C151" s="33"/>
      <c r="D151" s="33"/>
      <c r="E151" s="33"/>
      <c r="F151" s="42" t="s">
        <v>262</v>
      </c>
      <c r="G151" s="142">
        <v>12.8</v>
      </c>
      <c r="H151" s="142">
        <v>12.8</v>
      </c>
      <c r="I151" s="138">
        <f t="shared" si="33"/>
        <v>100</v>
      </c>
      <c r="J151" s="142"/>
      <c r="K151" s="146"/>
      <c r="L151" s="146"/>
      <c r="M151" s="146"/>
      <c r="N151" s="113"/>
      <c r="O151" s="147"/>
      <c r="P151" s="139">
        <f t="shared" si="34"/>
        <v>12.8</v>
      </c>
      <c r="Q151" s="158">
        <f t="shared" si="35"/>
        <v>12.8</v>
      </c>
      <c r="R151" s="158">
        <f t="shared" si="36"/>
        <v>0</v>
      </c>
      <c r="S151" s="159">
        <f t="shared" si="37"/>
        <v>100</v>
      </c>
    </row>
    <row r="152" spans="3:19" s="37" customFormat="1" ht="45" customHeight="1">
      <c r="C152" s="33" t="s">
        <v>501</v>
      </c>
      <c r="D152" s="33" t="s">
        <v>502</v>
      </c>
      <c r="E152" s="33" t="s">
        <v>74</v>
      </c>
      <c r="F152" s="160" t="s">
        <v>503</v>
      </c>
      <c r="G152" s="142">
        <f>G153</f>
        <v>2.1</v>
      </c>
      <c r="H152" s="142">
        <f>H153</f>
        <v>2.1</v>
      </c>
      <c r="I152" s="138">
        <f t="shared" si="33"/>
        <v>100</v>
      </c>
      <c r="J152" s="142">
        <f aca="true" t="shared" si="38" ref="J152:J157">K152+N152</f>
        <v>0</v>
      </c>
      <c r="K152" s="142">
        <f>K153</f>
        <v>0</v>
      </c>
      <c r="L152" s="142">
        <f>L153</f>
        <v>0</v>
      </c>
      <c r="M152" s="142">
        <f>M153</f>
        <v>0</v>
      </c>
      <c r="N152" s="36">
        <f>N153</f>
        <v>0</v>
      </c>
      <c r="O152" s="147"/>
      <c r="P152" s="139">
        <f t="shared" si="34"/>
        <v>2.1</v>
      </c>
      <c r="Q152" s="158">
        <f t="shared" si="35"/>
        <v>2.1</v>
      </c>
      <c r="R152" s="158">
        <f t="shared" si="36"/>
        <v>0</v>
      </c>
      <c r="S152" s="159">
        <f t="shared" si="37"/>
        <v>100</v>
      </c>
    </row>
    <row r="153" spans="3:19" s="37" customFormat="1" ht="47.25" customHeight="1">
      <c r="C153" s="33"/>
      <c r="D153" s="33"/>
      <c r="E153" s="33"/>
      <c r="F153" s="42" t="s">
        <v>262</v>
      </c>
      <c r="G153" s="142">
        <v>2.1</v>
      </c>
      <c r="H153" s="142">
        <v>2.1</v>
      </c>
      <c r="I153" s="138">
        <f t="shared" si="33"/>
        <v>100</v>
      </c>
      <c r="J153" s="142">
        <f t="shared" si="38"/>
        <v>0</v>
      </c>
      <c r="K153" s="150"/>
      <c r="L153" s="142"/>
      <c r="M153" s="142"/>
      <c r="N153" s="113"/>
      <c r="O153" s="147"/>
      <c r="P153" s="139">
        <f t="shared" si="34"/>
        <v>2.1</v>
      </c>
      <c r="Q153" s="158">
        <f t="shared" si="35"/>
        <v>2.1</v>
      </c>
      <c r="R153" s="158">
        <f t="shared" si="36"/>
        <v>0</v>
      </c>
      <c r="S153" s="159">
        <f t="shared" si="37"/>
        <v>100</v>
      </c>
    </row>
    <row r="154" spans="1:19" s="15" customFormat="1" ht="102" customHeight="1">
      <c r="A154" s="15">
        <v>9</v>
      </c>
      <c r="B154" s="15">
        <v>30</v>
      </c>
      <c r="C154" s="30" t="s">
        <v>264</v>
      </c>
      <c r="D154" s="30" t="s">
        <v>265</v>
      </c>
      <c r="E154" s="30" t="s">
        <v>65</v>
      </c>
      <c r="F154" s="31" t="s">
        <v>423</v>
      </c>
      <c r="G154" s="138">
        <f>G155</f>
        <v>159</v>
      </c>
      <c r="H154" s="138">
        <f aca="true" t="shared" si="39" ref="H154:N154">H155</f>
        <v>156.4</v>
      </c>
      <c r="I154" s="138">
        <f t="shared" si="33"/>
        <v>98.36477987421384</v>
      </c>
      <c r="J154" s="138">
        <f t="shared" si="39"/>
        <v>0</v>
      </c>
      <c r="K154" s="138">
        <f t="shared" si="39"/>
        <v>0</v>
      </c>
      <c r="L154" s="138">
        <f t="shared" si="39"/>
        <v>0</v>
      </c>
      <c r="M154" s="138">
        <f t="shared" si="39"/>
        <v>0</v>
      </c>
      <c r="N154" s="112">
        <f t="shared" si="39"/>
        <v>0</v>
      </c>
      <c r="O154" s="147"/>
      <c r="P154" s="139">
        <f t="shared" si="34"/>
        <v>159</v>
      </c>
      <c r="Q154" s="158">
        <f t="shared" si="35"/>
        <v>156.4</v>
      </c>
      <c r="R154" s="158">
        <f t="shared" si="36"/>
        <v>-2.5999999999999943</v>
      </c>
      <c r="S154" s="159">
        <f t="shared" si="37"/>
        <v>98.36477987421384</v>
      </c>
    </row>
    <row r="155" spans="3:19" s="37" customFormat="1" ht="51.75" customHeight="1">
      <c r="C155" s="33"/>
      <c r="D155" s="33"/>
      <c r="E155" s="33"/>
      <c r="F155" s="35" t="s">
        <v>500</v>
      </c>
      <c r="G155" s="142">
        <v>159</v>
      </c>
      <c r="H155" s="142">
        <v>156.4</v>
      </c>
      <c r="I155" s="138">
        <f t="shared" si="33"/>
        <v>98.36477987421384</v>
      </c>
      <c r="J155" s="142">
        <f t="shared" si="38"/>
        <v>0</v>
      </c>
      <c r="K155" s="142"/>
      <c r="L155" s="142"/>
      <c r="M155" s="142"/>
      <c r="N155" s="113"/>
      <c r="O155" s="147"/>
      <c r="P155" s="139">
        <f t="shared" si="34"/>
        <v>159</v>
      </c>
      <c r="Q155" s="158">
        <f t="shared" si="35"/>
        <v>156.4</v>
      </c>
      <c r="R155" s="158">
        <f t="shared" si="36"/>
        <v>-2.5999999999999943</v>
      </c>
      <c r="S155" s="159">
        <f t="shared" si="37"/>
        <v>98.36477987421384</v>
      </c>
    </row>
    <row r="156" spans="3:19" s="37" customFormat="1" ht="87" customHeight="1">
      <c r="C156" s="33" t="s">
        <v>426</v>
      </c>
      <c r="D156" s="33" t="s">
        <v>427</v>
      </c>
      <c r="E156" s="33" t="s">
        <v>65</v>
      </c>
      <c r="F156" s="42" t="s">
        <v>494</v>
      </c>
      <c r="G156" s="142">
        <v>11.5</v>
      </c>
      <c r="H156" s="142">
        <v>11.5</v>
      </c>
      <c r="I156" s="138">
        <f t="shared" si="33"/>
        <v>100</v>
      </c>
      <c r="J156" s="142">
        <f t="shared" si="38"/>
        <v>0</v>
      </c>
      <c r="K156" s="150"/>
      <c r="L156" s="142"/>
      <c r="M156" s="142"/>
      <c r="N156" s="113"/>
      <c r="O156" s="147"/>
      <c r="P156" s="139">
        <f t="shared" si="34"/>
        <v>11.5</v>
      </c>
      <c r="Q156" s="158">
        <f t="shared" si="35"/>
        <v>11.5</v>
      </c>
      <c r="R156" s="158">
        <f t="shared" si="36"/>
        <v>0</v>
      </c>
      <c r="S156" s="159">
        <f t="shared" si="37"/>
        <v>100</v>
      </c>
    </row>
    <row r="157" spans="3:19" s="37" customFormat="1" ht="49.5" customHeight="1" hidden="1">
      <c r="C157" s="33" t="s">
        <v>424</v>
      </c>
      <c r="D157" s="33" t="s">
        <v>425</v>
      </c>
      <c r="E157" s="33" t="s">
        <v>65</v>
      </c>
      <c r="F157" s="42" t="s">
        <v>495</v>
      </c>
      <c r="G157" s="142">
        <v>0</v>
      </c>
      <c r="H157" s="142"/>
      <c r="I157" s="138" t="e">
        <f t="shared" si="33"/>
        <v>#DIV/0!</v>
      </c>
      <c r="J157" s="142">
        <f t="shared" si="38"/>
        <v>0</v>
      </c>
      <c r="K157" s="150"/>
      <c r="L157" s="142"/>
      <c r="M157" s="142"/>
      <c r="N157" s="113"/>
      <c r="O157" s="147"/>
      <c r="P157" s="139">
        <f t="shared" si="34"/>
        <v>0</v>
      </c>
      <c r="Q157" s="158">
        <f t="shared" si="35"/>
        <v>0</v>
      </c>
      <c r="R157" s="158">
        <f t="shared" si="36"/>
        <v>0</v>
      </c>
      <c r="S157" s="159" t="e">
        <f t="shared" si="37"/>
        <v>#DIV/0!</v>
      </c>
    </row>
    <row r="158" spans="1:19" s="6" customFormat="1" ht="81" customHeight="1">
      <c r="A158" s="6">
        <v>10</v>
      </c>
      <c r="B158" s="6">
        <v>31</v>
      </c>
      <c r="C158" s="30" t="s">
        <v>263</v>
      </c>
      <c r="D158" s="30" t="s">
        <v>93</v>
      </c>
      <c r="E158" s="30" t="s">
        <v>75</v>
      </c>
      <c r="F158" s="41" t="s">
        <v>428</v>
      </c>
      <c r="G158" s="138">
        <f>SUM(G159:G160)</f>
        <v>120.8</v>
      </c>
      <c r="H158" s="138">
        <f>SUM(H159:H160)</f>
        <v>119.4</v>
      </c>
      <c r="I158" s="138">
        <f t="shared" si="33"/>
        <v>98.84105960264901</v>
      </c>
      <c r="J158" s="138">
        <f>SUM(J159:J160)</f>
        <v>0</v>
      </c>
      <c r="K158" s="138">
        <f>SUM(K159:K160)</f>
        <v>0</v>
      </c>
      <c r="L158" s="138">
        <f>SUM(L159:L160)</f>
        <v>0</v>
      </c>
      <c r="M158" s="138">
        <f>SUM(M159:M160)</f>
        <v>0</v>
      </c>
      <c r="N158" s="112">
        <f>SUM(N159:N160)</f>
        <v>0</v>
      </c>
      <c r="O158" s="147"/>
      <c r="P158" s="139">
        <f t="shared" si="34"/>
        <v>120.8</v>
      </c>
      <c r="Q158" s="158">
        <f t="shared" si="35"/>
        <v>119.4</v>
      </c>
      <c r="R158" s="158">
        <f t="shared" si="36"/>
        <v>-1.3999999999999915</v>
      </c>
      <c r="S158" s="159">
        <f t="shared" si="37"/>
        <v>98.84105960264901</v>
      </c>
    </row>
    <row r="159" spans="3:19" s="37" customFormat="1" ht="42.75" customHeight="1">
      <c r="C159" s="33"/>
      <c r="D159" s="33"/>
      <c r="E159" s="33"/>
      <c r="F159" s="35" t="s">
        <v>500</v>
      </c>
      <c r="G159" s="142">
        <v>81.8</v>
      </c>
      <c r="H159" s="142">
        <v>80.9</v>
      </c>
      <c r="I159" s="138">
        <f t="shared" si="33"/>
        <v>98.89975550122251</v>
      </c>
      <c r="J159" s="142">
        <f aca="true" t="shared" si="40" ref="J159:J169">K159+N159</f>
        <v>0</v>
      </c>
      <c r="K159" s="142"/>
      <c r="L159" s="142"/>
      <c r="M159" s="142"/>
      <c r="N159" s="113"/>
      <c r="O159" s="147"/>
      <c r="P159" s="139">
        <f t="shared" si="34"/>
        <v>81.8</v>
      </c>
      <c r="Q159" s="158">
        <f t="shared" si="35"/>
        <v>80.9</v>
      </c>
      <c r="R159" s="158">
        <f t="shared" si="36"/>
        <v>-0.8999999999999915</v>
      </c>
      <c r="S159" s="159">
        <f t="shared" si="37"/>
        <v>98.89975550122251</v>
      </c>
    </row>
    <row r="160" spans="3:19" s="37" customFormat="1" ht="41.25" customHeight="1">
      <c r="C160" s="33"/>
      <c r="D160" s="33"/>
      <c r="E160" s="33"/>
      <c r="F160" s="35" t="s">
        <v>113</v>
      </c>
      <c r="G160" s="142">
        <v>39</v>
      </c>
      <c r="H160" s="142">
        <v>38.5</v>
      </c>
      <c r="I160" s="138">
        <f t="shared" si="33"/>
        <v>98.71794871794873</v>
      </c>
      <c r="J160" s="142">
        <f t="shared" si="40"/>
        <v>0</v>
      </c>
      <c r="K160" s="142"/>
      <c r="L160" s="142"/>
      <c r="M160" s="142"/>
      <c r="N160" s="113"/>
      <c r="O160" s="147"/>
      <c r="P160" s="139">
        <f t="shared" si="34"/>
        <v>39</v>
      </c>
      <c r="Q160" s="158">
        <f t="shared" si="35"/>
        <v>38.5</v>
      </c>
      <c r="R160" s="158">
        <f t="shared" si="36"/>
        <v>-0.5</v>
      </c>
      <c r="S160" s="159">
        <f t="shared" si="37"/>
        <v>98.71794871794873</v>
      </c>
    </row>
    <row r="161" spans="3:19" s="6" customFormat="1" ht="48" customHeight="1">
      <c r="C161" s="33" t="s">
        <v>430</v>
      </c>
      <c r="D161" s="33" t="s">
        <v>429</v>
      </c>
      <c r="E161" s="33" t="s">
        <v>78</v>
      </c>
      <c r="F161" s="35" t="s">
        <v>266</v>
      </c>
      <c r="G161" s="138">
        <f>SUM(G162:G166)</f>
        <v>929.4000000000001</v>
      </c>
      <c r="H161" s="138">
        <f>SUM(H162:H166)</f>
        <v>916.4</v>
      </c>
      <c r="I161" s="138">
        <f t="shared" si="33"/>
        <v>98.60124811706477</v>
      </c>
      <c r="J161" s="138">
        <f t="shared" si="40"/>
        <v>0</v>
      </c>
      <c r="K161" s="138">
        <f>SUM(K162:K166)</f>
        <v>0</v>
      </c>
      <c r="L161" s="138">
        <f>SUM(L162:L166)</f>
        <v>0</v>
      </c>
      <c r="M161" s="138">
        <f>SUM(M162:M166)</f>
        <v>0</v>
      </c>
      <c r="N161" s="112">
        <f>SUM(N162:N166)</f>
        <v>0</v>
      </c>
      <c r="O161" s="147"/>
      <c r="P161" s="139">
        <f t="shared" si="34"/>
        <v>929.4000000000001</v>
      </c>
      <c r="Q161" s="158">
        <f t="shared" si="35"/>
        <v>916.4</v>
      </c>
      <c r="R161" s="158">
        <f t="shared" si="36"/>
        <v>-13.000000000000114</v>
      </c>
      <c r="S161" s="159">
        <f t="shared" si="37"/>
        <v>98.60124811706477</v>
      </c>
    </row>
    <row r="162" spans="3:19" s="37" customFormat="1" ht="29.25" customHeight="1">
      <c r="C162" s="33"/>
      <c r="D162" s="33"/>
      <c r="E162" s="33"/>
      <c r="F162" s="35" t="s">
        <v>45</v>
      </c>
      <c r="G162" s="182">
        <v>202.8</v>
      </c>
      <c r="H162" s="142">
        <v>200.4</v>
      </c>
      <c r="I162" s="138">
        <f t="shared" si="33"/>
        <v>98.81656804733727</v>
      </c>
      <c r="J162" s="142">
        <f t="shared" si="40"/>
        <v>0</v>
      </c>
      <c r="K162" s="142"/>
      <c r="L162" s="142"/>
      <c r="M162" s="142"/>
      <c r="N162" s="113"/>
      <c r="O162" s="147"/>
      <c r="P162" s="139">
        <f t="shared" si="34"/>
        <v>202.8</v>
      </c>
      <c r="Q162" s="158">
        <f t="shared" si="35"/>
        <v>200.4</v>
      </c>
      <c r="R162" s="158">
        <f t="shared" si="36"/>
        <v>-2.4000000000000057</v>
      </c>
      <c r="S162" s="159">
        <f t="shared" si="37"/>
        <v>98.81656804733727</v>
      </c>
    </row>
    <row r="163" spans="3:19" s="37" customFormat="1" ht="45" customHeight="1">
      <c r="C163" s="33"/>
      <c r="D163" s="33"/>
      <c r="E163" s="33"/>
      <c r="F163" s="35" t="s">
        <v>574</v>
      </c>
      <c r="G163" s="182">
        <v>10</v>
      </c>
      <c r="H163" s="142">
        <v>0</v>
      </c>
      <c r="I163" s="138">
        <f t="shared" si="33"/>
        <v>0</v>
      </c>
      <c r="J163" s="142">
        <f t="shared" si="40"/>
        <v>0</v>
      </c>
      <c r="K163" s="142"/>
      <c r="L163" s="142"/>
      <c r="M163" s="142"/>
      <c r="N163" s="113"/>
      <c r="O163" s="147"/>
      <c r="P163" s="139">
        <f t="shared" si="34"/>
        <v>10</v>
      </c>
      <c r="Q163" s="158">
        <f t="shared" si="35"/>
        <v>0</v>
      </c>
      <c r="R163" s="158">
        <f t="shared" si="36"/>
        <v>-10</v>
      </c>
      <c r="S163" s="159">
        <f t="shared" si="37"/>
        <v>0</v>
      </c>
    </row>
    <row r="164" spans="3:19" s="37" customFormat="1" ht="138.75" customHeight="1" hidden="1">
      <c r="C164" s="33"/>
      <c r="D164" s="33"/>
      <c r="E164" s="33"/>
      <c r="F164" s="35" t="s">
        <v>44</v>
      </c>
      <c r="G164" s="182"/>
      <c r="H164" s="142"/>
      <c r="I164" s="138" t="e">
        <f t="shared" si="33"/>
        <v>#DIV/0!</v>
      </c>
      <c r="J164" s="142">
        <f t="shared" si="40"/>
        <v>0</v>
      </c>
      <c r="K164" s="142"/>
      <c r="L164" s="142"/>
      <c r="M164" s="142"/>
      <c r="N164" s="113"/>
      <c r="O164" s="147"/>
      <c r="P164" s="139">
        <f t="shared" si="34"/>
        <v>0</v>
      </c>
      <c r="Q164" s="158">
        <f t="shared" si="35"/>
        <v>0</v>
      </c>
      <c r="R164" s="158">
        <f t="shared" si="36"/>
        <v>0</v>
      </c>
      <c r="S164" s="159" t="e">
        <f t="shared" si="37"/>
        <v>#DIV/0!</v>
      </c>
    </row>
    <row r="165" spans="3:19" s="37" customFormat="1" ht="50.25" customHeight="1">
      <c r="C165" s="33"/>
      <c r="D165" s="33"/>
      <c r="E165" s="33"/>
      <c r="F165" s="35" t="s">
        <v>504</v>
      </c>
      <c r="G165" s="142">
        <v>690.6</v>
      </c>
      <c r="H165" s="142">
        <v>690</v>
      </c>
      <c r="I165" s="138">
        <f t="shared" si="33"/>
        <v>99.91311902693309</v>
      </c>
      <c r="J165" s="142">
        <f t="shared" si="40"/>
        <v>0</v>
      </c>
      <c r="K165" s="142"/>
      <c r="L165" s="142"/>
      <c r="M165" s="142"/>
      <c r="N165" s="113"/>
      <c r="O165" s="147"/>
      <c r="P165" s="139">
        <f t="shared" si="34"/>
        <v>690.6</v>
      </c>
      <c r="Q165" s="158">
        <f t="shared" si="35"/>
        <v>690</v>
      </c>
      <c r="R165" s="158">
        <f t="shared" si="36"/>
        <v>-0.6000000000000227</v>
      </c>
      <c r="S165" s="159">
        <f t="shared" si="37"/>
        <v>99.91311902693309</v>
      </c>
    </row>
    <row r="166" spans="3:19" s="37" customFormat="1" ht="42" customHeight="1">
      <c r="C166" s="33"/>
      <c r="D166" s="33"/>
      <c r="E166" s="33"/>
      <c r="F166" s="35" t="s">
        <v>115</v>
      </c>
      <c r="G166" s="142">
        <v>26</v>
      </c>
      <c r="H166" s="142">
        <v>26</v>
      </c>
      <c r="I166" s="138">
        <f t="shared" si="33"/>
        <v>100</v>
      </c>
      <c r="J166" s="142">
        <f t="shared" si="40"/>
        <v>0</v>
      </c>
      <c r="K166" s="142"/>
      <c r="L166" s="142"/>
      <c r="M166" s="142"/>
      <c r="N166" s="113"/>
      <c r="O166" s="147"/>
      <c r="P166" s="139">
        <f t="shared" si="34"/>
        <v>26</v>
      </c>
      <c r="Q166" s="158">
        <f t="shared" si="35"/>
        <v>26</v>
      </c>
      <c r="R166" s="158">
        <f t="shared" si="36"/>
        <v>0</v>
      </c>
      <c r="S166" s="159">
        <f t="shared" si="37"/>
        <v>100</v>
      </c>
    </row>
    <row r="167" spans="3:19" s="37" customFormat="1" ht="72.75" customHeight="1">
      <c r="C167" s="33" t="s">
        <v>442</v>
      </c>
      <c r="D167" s="33" t="s">
        <v>475</v>
      </c>
      <c r="E167" s="33" t="s">
        <v>78</v>
      </c>
      <c r="F167" s="35" t="s">
        <v>443</v>
      </c>
      <c r="G167" s="142">
        <f>SUM(G168:G169)</f>
        <v>214.1</v>
      </c>
      <c r="H167" s="142">
        <f>SUM(H168:H169)</f>
        <v>208</v>
      </c>
      <c r="I167" s="138">
        <f t="shared" si="33"/>
        <v>97.15086408220458</v>
      </c>
      <c r="J167" s="142">
        <f t="shared" si="40"/>
        <v>0</v>
      </c>
      <c r="K167" s="142"/>
      <c r="L167" s="142"/>
      <c r="M167" s="142"/>
      <c r="N167" s="113"/>
      <c r="O167" s="147"/>
      <c r="P167" s="139">
        <f t="shared" si="34"/>
        <v>214.1</v>
      </c>
      <c r="Q167" s="158">
        <f t="shared" si="35"/>
        <v>208</v>
      </c>
      <c r="R167" s="158">
        <f t="shared" si="36"/>
        <v>-6.099999999999994</v>
      </c>
      <c r="S167" s="159">
        <f t="shared" si="37"/>
        <v>97.15086408220458</v>
      </c>
    </row>
    <row r="168" spans="3:19" s="37" customFormat="1" ht="98.25" customHeight="1">
      <c r="C168" s="33"/>
      <c r="D168" s="33"/>
      <c r="E168" s="33"/>
      <c r="F168" s="35" t="s">
        <v>121</v>
      </c>
      <c r="G168" s="142">
        <v>201</v>
      </c>
      <c r="H168" s="142">
        <f>74.2+30.9+48.4+41.5</f>
        <v>195</v>
      </c>
      <c r="I168" s="138">
        <f t="shared" si="33"/>
        <v>97.01492537313433</v>
      </c>
      <c r="J168" s="142">
        <f t="shared" si="40"/>
        <v>0</v>
      </c>
      <c r="K168" s="142"/>
      <c r="L168" s="142"/>
      <c r="M168" s="142"/>
      <c r="N168" s="113"/>
      <c r="O168" s="147"/>
      <c r="P168" s="139">
        <f t="shared" si="34"/>
        <v>201</v>
      </c>
      <c r="Q168" s="158">
        <f t="shared" si="35"/>
        <v>195</v>
      </c>
      <c r="R168" s="158">
        <f t="shared" si="36"/>
        <v>-6</v>
      </c>
      <c r="S168" s="159">
        <f t="shared" si="37"/>
        <v>97.01492537313433</v>
      </c>
    </row>
    <row r="169" spans="3:19" s="37" customFormat="1" ht="56.25">
      <c r="C169" s="33"/>
      <c r="D169" s="33"/>
      <c r="E169" s="33"/>
      <c r="F169" s="35" t="s">
        <v>114</v>
      </c>
      <c r="G169" s="142">
        <v>13.1</v>
      </c>
      <c r="H169" s="142">
        <v>13</v>
      </c>
      <c r="I169" s="138">
        <f t="shared" si="33"/>
        <v>99.23664122137404</v>
      </c>
      <c r="J169" s="142">
        <f t="shared" si="40"/>
        <v>0</v>
      </c>
      <c r="K169" s="142"/>
      <c r="L169" s="142"/>
      <c r="M169" s="142"/>
      <c r="N169" s="113"/>
      <c r="O169" s="147"/>
      <c r="P169" s="139">
        <f t="shared" si="34"/>
        <v>13.1</v>
      </c>
      <c r="Q169" s="158">
        <f t="shared" si="35"/>
        <v>13</v>
      </c>
      <c r="R169" s="158">
        <f t="shared" si="36"/>
        <v>-0.09999999999999964</v>
      </c>
      <c r="S169" s="159">
        <f t="shared" si="37"/>
        <v>99.23664122137404</v>
      </c>
    </row>
    <row r="170" spans="3:19" s="37" customFormat="1" ht="225.75" customHeight="1">
      <c r="C170" s="30" t="s">
        <v>267</v>
      </c>
      <c r="D170" s="30" t="s">
        <v>393</v>
      </c>
      <c r="E170" s="30" t="s">
        <v>74</v>
      </c>
      <c r="F170" s="41" t="s">
        <v>431</v>
      </c>
      <c r="G170" s="138">
        <v>611.5</v>
      </c>
      <c r="H170" s="142">
        <v>592.1</v>
      </c>
      <c r="I170" s="138">
        <f t="shared" si="33"/>
        <v>96.82747342600165</v>
      </c>
      <c r="J170" s="138">
        <f>SUM(J171:J173)</f>
        <v>0</v>
      </c>
      <c r="K170" s="142"/>
      <c r="L170" s="142"/>
      <c r="M170" s="142"/>
      <c r="N170" s="113"/>
      <c r="O170" s="147"/>
      <c r="P170" s="139">
        <f t="shared" si="34"/>
        <v>611.5</v>
      </c>
      <c r="Q170" s="158">
        <f t="shared" si="35"/>
        <v>592.1</v>
      </c>
      <c r="R170" s="158">
        <f t="shared" si="36"/>
        <v>-19.399999999999977</v>
      </c>
      <c r="S170" s="159">
        <f t="shared" si="37"/>
        <v>96.82747342600165</v>
      </c>
    </row>
    <row r="171" spans="1:19" s="37" customFormat="1" ht="38.25" customHeight="1">
      <c r="A171" s="6"/>
      <c r="B171" s="6"/>
      <c r="C171" s="33" t="s">
        <v>476</v>
      </c>
      <c r="D171" s="33" t="s">
        <v>432</v>
      </c>
      <c r="E171" s="33" t="s">
        <v>69</v>
      </c>
      <c r="F171" s="35" t="s">
        <v>477</v>
      </c>
      <c r="G171" s="138">
        <f>SUM(G172:G174)</f>
        <v>2841.2</v>
      </c>
      <c r="H171" s="138">
        <f>SUM(H172:H174)</f>
        <v>2825.5</v>
      </c>
      <c r="I171" s="138">
        <f t="shared" si="33"/>
        <v>99.44741658454174</v>
      </c>
      <c r="J171" s="138">
        <f aca="true" t="shared" si="41" ref="J171:J185">K171+N171</f>
        <v>0</v>
      </c>
      <c r="K171" s="138">
        <f>SUM(K172:K174)</f>
        <v>0</v>
      </c>
      <c r="L171" s="138">
        <f>SUM(L172:L174)</f>
        <v>0</v>
      </c>
      <c r="M171" s="138">
        <f>SUM(M172:M174)</f>
        <v>0</v>
      </c>
      <c r="N171" s="112">
        <f>SUM(N172:N174)</f>
        <v>0</v>
      </c>
      <c r="O171" s="147"/>
      <c r="P171" s="139">
        <f t="shared" si="34"/>
        <v>2841.2</v>
      </c>
      <c r="Q171" s="158">
        <f t="shared" si="35"/>
        <v>2825.5</v>
      </c>
      <c r="R171" s="158">
        <f t="shared" si="36"/>
        <v>-15.699999999999818</v>
      </c>
      <c r="S171" s="159">
        <f t="shared" si="37"/>
        <v>99.44741658454174</v>
      </c>
    </row>
    <row r="172" spans="3:19" s="37" customFormat="1" ht="27.75" customHeight="1">
      <c r="C172" s="33"/>
      <c r="D172" s="33"/>
      <c r="E172" s="33"/>
      <c r="F172" s="42" t="s">
        <v>158</v>
      </c>
      <c r="G172" s="142">
        <v>66.8</v>
      </c>
      <c r="H172" s="142">
        <v>66.8</v>
      </c>
      <c r="I172" s="138">
        <f t="shared" si="33"/>
        <v>100</v>
      </c>
      <c r="J172" s="142">
        <f t="shared" si="41"/>
        <v>0</v>
      </c>
      <c r="K172" s="142"/>
      <c r="L172" s="142"/>
      <c r="M172" s="142"/>
      <c r="N172" s="113"/>
      <c r="O172" s="147"/>
      <c r="P172" s="139">
        <f t="shared" si="34"/>
        <v>66.8</v>
      </c>
      <c r="Q172" s="158">
        <f t="shared" si="35"/>
        <v>66.8</v>
      </c>
      <c r="R172" s="158">
        <f t="shared" si="36"/>
        <v>0</v>
      </c>
      <c r="S172" s="159">
        <f t="shared" si="37"/>
        <v>100</v>
      </c>
    </row>
    <row r="173" spans="3:19" s="37" customFormat="1" ht="45" customHeight="1">
      <c r="C173" s="33"/>
      <c r="D173" s="33"/>
      <c r="E173" s="33"/>
      <c r="F173" s="42" t="s">
        <v>82</v>
      </c>
      <c r="G173" s="142">
        <v>1482.4</v>
      </c>
      <c r="H173" s="142">
        <v>1466.7</v>
      </c>
      <c r="I173" s="138">
        <f t="shared" si="33"/>
        <v>98.94090663788451</v>
      </c>
      <c r="J173" s="142">
        <f t="shared" si="41"/>
        <v>0</v>
      </c>
      <c r="K173" s="142"/>
      <c r="L173" s="142"/>
      <c r="M173" s="142"/>
      <c r="N173" s="113"/>
      <c r="O173" s="147"/>
      <c r="P173" s="139">
        <f t="shared" si="34"/>
        <v>1482.4</v>
      </c>
      <c r="Q173" s="158">
        <f t="shared" si="35"/>
        <v>1466.7</v>
      </c>
      <c r="R173" s="158">
        <f t="shared" si="36"/>
        <v>-15.700000000000045</v>
      </c>
      <c r="S173" s="159">
        <f t="shared" si="37"/>
        <v>98.94090663788451</v>
      </c>
    </row>
    <row r="174" spans="3:19" s="37" customFormat="1" ht="42.75" customHeight="1">
      <c r="C174" s="33"/>
      <c r="D174" s="33"/>
      <c r="E174" s="33"/>
      <c r="F174" s="42" t="s">
        <v>514</v>
      </c>
      <c r="G174" s="142">
        <v>1292</v>
      </c>
      <c r="H174" s="142">
        <v>1292</v>
      </c>
      <c r="I174" s="138">
        <f t="shared" si="33"/>
        <v>100</v>
      </c>
      <c r="J174" s="142">
        <f>K174+N174</f>
        <v>0</v>
      </c>
      <c r="K174" s="142"/>
      <c r="L174" s="142"/>
      <c r="M174" s="142"/>
      <c r="N174" s="113"/>
      <c r="O174" s="147"/>
      <c r="P174" s="139">
        <f t="shared" si="34"/>
        <v>1292</v>
      </c>
      <c r="Q174" s="158">
        <f t="shared" si="35"/>
        <v>1292</v>
      </c>
      <c r="R174" s="158">
        <f t="shared" si="36"/>
        <v>0</v>
      </c>
      <c r="S174" s="159">
        <f t="shared" si="37"/>
        <v>100</v>
      </c>
    </row>
    <row r="175" spans="3:19" s="6" customFormat="1" ht="32.25" customHeight="1">
      <c r="C175" s="30" t="s">
        <v>434</v>
      </c>
      <c r="D175" s="30" t="s">
        <v>433</v>
      </c>
      <c r="E175" s="30" t="s">
        <v>94</v>
      </c>
      <c r="F175" s="41" t="s">
        <v>269</v>
      </c>
      <c r="G175" s="138">
        <f>G176</f>
        <v>86.1</v>
      </c>
      <c r="H175" s="138">
        <f>H176</f>
        <v>85.7</v>
      </c>
      <c r="I175" s="138">
        <f t="shared" si="33"/>
        <v>99.53542392566784</v>
      </c>
      <c r="J175" s="138">
        <f>J176</f>
        <v>93.3</v>
      </c>
      <c r="K175" s="138">
        <f>K176</f>
        <v>0</v>
      </c>
      <c r="L175" s="138">
        <f>L176</f>
        <v>85.7</v>
      </c>
      <c r="M175" s="138">
        <f>M176</f>
        <v>0</v>
      </c>
      <c r="N175" s="112">
        <f>N176</f>
        <v>0</v>
      </c>
      <c r="O175" s="147">
        <f aca="true" t="shared" si="42" ref="O175:O191">L175/J175*100</f>
        <v>91.85423365487675</v>
      </c>
      <c r="P175" s="139">
        <f t="shared" si="34"/>
        <v>179.39999999999998</v>
      </c>
      <c r="Q175" s="158">
        <f t="shared" si="35"/>
        <v>171.4</v>
      </c>
      <c r="R175" s="158">
        <f t="shared" si="36"/>
        <v>-7.999999999999972</v>
      </c>
      <c r="S175" s="159">
        <f t="shared" si="37"/>
        <v>95.54069119286513</v>
      </c>
    </row>
    <row r="176" spans="3:19" s="37" customFormat="1" ht="63.75" customHeight="1">
      <c r="C176" s="33"/>
      <c r="D176" s="33"/>
      <c r="E176" s="33"/>
      <c r="F176" s="35" t="s">
        <v>562</v>
      </c>
      <c r="G176" s="142">
        <v>86.1</v>
      </c>
      <c r="H176" s="142">
        <v>85.7</v>
      </c>
      <c r="I176" s="138">
        <f t="shared" si="33"/>
        <v>99.53542392566784</v>
      </c>
      <c r="J176" s="142">
        <v>93.3</v>
      </c>
      <c r="K176" s="142"/>
      <c r="L176" s="142">
        <v>85.7</v>
      </c>
      <c r="M176" s="146"/>
      <c r="N176" s="116"/>
      <c r="O176" s="147">
        <f t="shared" si="42"/>
        <v>91.85423365487675</v>
      </c>
      <c r="P176" s="139">
        <f t="shared" si="34"/>
        <v>179.39999999999998</v>
      </c>
      <c r="Q176" s="158">
        <f t="shared" si="35"/>
        <v>171.4</v>
      </c>
      <c r="R176" s="158">
        <f t="shared" si="36"/>
        <v>-7.999999999999972</v>
      </c>
      <c r="S176" s="159">
        <f t="shared" si="37"/>
        <v>95.54069119286513</v>
      </c>
    </row>
    <row r="177" spans="3:19" s="46" customFormat="1" ht="37.5" customHeight="1" hidden="1">
      <c r="C177" s="28" t="s">
        <v>355</v>
      </c>
      <c r="D177" s="28" t="s">
        <v>341</v>
      </c>
      <c r="E177" s="28"/>
      <c r="F177" s="44" t="s">
        <v>342</v>
      </c>
      <c r="G177" s="139">
        <f>G178</f>
        <v>0</v>
      </c>
      <c r="H177" s="139">
        <f aca="true" t="shared" si="43" ref="H177:N177">H178</f>
        <v>0</v>
      </c>
      <c r="I177" s="138" t="e">
        <f t="shared" si="33"/>
        <v>#DIV/0!</v>
      </c>
      <c r="J177" s="139">
        <f t="shared" si="41"/>
        <v>0</v>
      </c>
      <c r="K177" s="139">
        <f t="shared" si="43"/>
        <v>0</v>
      </c>
      <c r="L177" s="139">
        <f t="shared" si="43"/>
        <v>0</v>
      </c>
      <c r="M177" s="139">
        <f t="shared" si="43"/>
        <v>0</v>
      </c>
      <c r="N177" s="114">
        <f t="shared" si="43"/>
        <v>0</v>
      </c>
      <c r="O177" s="147" t="e">
        <f t="shared" si="42"/>
        <v>#DIV/0!</v>
      </c>
      <c r="P177" s="139">
        <f aca="true" t="shared" si="44" ref="P177:P185">G177+J177</f>
        <v>0</v>
      </c>
      <c r="Q177" s="158">
        <f aca="true" t="shared" si="45" ref="Q177:Q185">H177+L177</f>
        <v>0</v>
      </c>
      <c r="R177" s="158">
        <f aca="true" t="shared" si="46" ref="R177:R185">Q177-P177</f>
        <v>0</v>
      </c>
      <c r="S177" s="159" t="e">
        <f aca="true" t="shared" si="47" ref="S177:S185">Q177/P177*100</f>
        <v>#DIV/0!</v>
      </c>
    </row>
    <row r="178" spans="3:19" s="6" customFormat="1" ht="31.5" customHeight="1" hidden="1">
      <c r="C178" s="30" t="s">
        <v>270</v>
      </c>
      <c r="D178" s="30" t="s">
        <v>271</v>
      </c>
      <c r="E178" s="30"/>
      <c r="F178" s="31" t="s">
        <v>272</v>
      </c>
      <c r="G178" s="138">
        <f>G179</f>
        <v>0</v>
      </c>
      <c r="H178" s="138">
        <f aca="true" t="shared" si="48" ref="H178:N179">H179</f>
        <v>0</v>
      </c>
      <c r="I178" s="138" t="e">
        <f t="shared" si="33"/>
        <v>#DIV/0!</v>
      </c>
      <c r="J178" s="138">
        <f t="shared" si="41"/>
        <v>0</v>
      </c>
      <c r="K178" s="138">
        <f t="shared" si="48"/>
        <v>0</v>
      </c>
      <c r="L178" s="138">
        <f t="shared" si="48"/>
        <v>0</v>
      </c>
      <c r="M178" s="138">
        <f t="shared" si="48"/>
        <v>0</v>
      </c>
      <c r="N178" s="112">
        <f t="shared" si="48"/>
        <v>0</v>
      </c>
      <c r="O178" s="147" t="e">
        <f t="shared" si="42"/>
        <v>#DIV/0!</v>
      </c>
      <c r="P178" s="139">
        <f t="shared" si="44"/>
        <v>0</v>
      </c>
      <c r="Q178" s="158">
        <f t="shared" si="45"/>
        <v>0</v>
      </c>
      <c r="R178" s="158">
        <f t="shared" si="46"/>
        <v>0</v>
      </c>
      <c r="S178" s="159" t="e">
        <f t="shared" si="47"/>
        <v>#DIV/0!</v>
      </c>
    </row>
    <row r="179" spans="3:19" s="37" customFormat="1" ht="40.5" customHeight="1" hidden="1">
      <c r="C179" s="33" t="s">
        <v>273</v>
      </c>
      <c r="D179" s="33" t="s">
        <v>276</v>
      </c>
      <c r="E179" s="33" t="s">
        <v>97</v>
      </c>
      <c r="F179" s="42" t="s">
        <v>274</v>
      </c>
      <c r="G179" s="142">
        <f>G180</f>
        <v>0</v>
      </c>
      <c r="H179" s="142">
        <f t="shared" si="48"/>
        <v>0</v>
      </c>
      <c r="I179" s="138" t="e">
        <f t="shared" si="33"/>
        <v>#DIV/0!</v>
      </c>
      <c r="J179" s="142">
        <f t="shared" si="41"/>
        <v>0</v>
      </c>
      <c r="K179" s="142">
        <f t="shared" si="48"/>
        <v>0</v>
      </c>
      <c r="L179" s="142">
        <f t="shared" si="48"/>
        <v>0</v>
      </c>
      <c r="M179" s="142">
        <f t="shared" si="48"/>
        <v>0</v>
      </c>
      <c r="N179" s="113">
        <f t="shared" si="48"/>
        <v>0</v>
      </c>
      <c r="O179" s="147" t="e">
        <f t="shared" si="42"/>
        <v>#DIV/0!</v>
      </c>
      <c r="P179" s="139">
        <f t="shared" si="44"/>
        <v>0</v>
      </c>
      <c r="Q179" s="158">
        <f t="shared" si="45"/>
        <v>0</v>
      </c>
      <c r="R179" s="158">
        <f t="shared" si="46"/>
        <v>0</v>
      </c>
      <c r="S179" s="159" t="e">
        <f t="shared" si="47"/>
        <v>#DIV/0!</v>
      </c>
    </row>
    <row r="180" spans="3:19" s="37" customFormat="1" ht="96" customHeight="1" hidden="1">
      <c r="C180" s="33"/>
      <c r="D180" s="33"/>
      <c r="E180" s="33"/>
      <c r="F180" s="42" t="s">
        <v>275</v>
      </c>
      <c r="G180" s="142"/>
      <c r="H180" s="146"/>
      <c r="I180" s="138" t="e">
        <f t="shared" si="33"/>
        <v>#DIV/0!</v>
      </c>
      <c r="J180" s="142">
        <f t="shared" si="41"/>
        <v>0</v>
      </c>
      <c r="K180" s="142"/>
      <c r="L180" s="146"/>
      <c r="M180" s="146"/>
      <c r="N180" s="113"/>
      <c r="O180" s="147" t="e">
        <f t="shared" si="42"/>
        <v>#DIV/0!</v>
      </c>
      <c r="P180" s="139">
        <f t="shared" si="44"/>
        <v>0</v>
      </c>
      <c r="Q180" s="158">
        <f t="shared" si="45"/>
        <v>0</v>
      </c>
      <c r="R180" s="158">
        <f t="shared" si="46"/>
        <v>0</v>
      </c>
      <c r="S180" s="159" t="e">
        <f t="shared" si="47"/>
        <v>#DIV/0!</v>
      </c>
    </row>
    <row r="181" spans="3:19" s="172" customFormat="1" ht="47.25" customHeight="1">
      <c r="C181" s="28"/>
      <c r="D181" s="28"/>
      <c r="E181" s="28"/>
      <c r="F181" s="29" t="s">
        <v>379</v>
      </c>
      <c r="G181" s="139">
        <f>G182</f>
        <v>0</v>
      </c>
      <c r="H181" s="139">
        <f>H182</f>
        <v>0</v>
      </c>
      <c r="I181" s="138"/>
      <c r="J181" s="139">
        <f>J182</f>
        <v>37189.3</v>
      </c>
      <c r="K181" s="139">
        <f>K182</f>
        <v>0</v>
      </c>
      <c r="L181" s="139">
        <f>L182</f>
        <v>22393</v>
      </c>
      <c r="M181" s="139">
        <f>M182</f>
        <v>22393</v>
      </c>
      <c r="N181" s="171">
        <f>N185</f>
        <v>0</v>
      </c>
      <c r="O181" s="147">
        <f t="shared" si="42"/>
        <v>60.21355604972397</v>
      </c>
      <c r="P181" s="139">
        <f t="shared" si="44"/>
        <v>37189.3</v>
      </c>
      <c r="Q181" s="158">
        <f t="shared" si="45"/>
        <v>22393</v>
      </c>
      <c r="R181" s="158">
        <f t="shared" si="46"/>
        <v>-14796.300000000003</v>
      </c>
      <c r="S181" s="159">
        <f t="shared" si="47"/>
        <v>60.21355604972397</v>
      </c>
    </row>
    <row r="182" spans="3:19" s="172" customFormat="1" ht="56.25">
      <c r="C182" s="30" t="s">
        <v>615</v>
      </c>
      <c r="D182" s="30" t="s">
        <v>616</v>
      </c>
      <c r="E182" s="30" t="s">
        <v>62</v>
      </c>
      <c r="F182" s="42" t="s">
        <v>617</v>
      </c>
      <c r="G182" s="139">
        <f>G183+G184</f>
        <v>0</v>
      </c>
      <c r="H182" s="139">
        <f aca="true" t="shared" si="49" ref="H182:M182">H183+H184</f>
        <v>0</v>
      </c>
      <c r="I182" s="138"/>
      <c r="J182" s="139">
        <f t="shared" si="49"/>
        <v>37189.3</v>
      </c>
      <c r="K182" s="165">
        <f t="shared" si="49"/>
        <v>0</v>
      </c>
      <c r="L182" s="139">
        <f t="shared" si="49"/>
        <v>22393</v>
      </c>
      <c r="M182" s="139">
        <f t="shared" si="49"/>
        <v>22393</v>
      </c>
      <c r="N182" s="171"/>
      <c r="O182" s="147">
        <f t="shared" si="42"/>
        <v>60.21355604972397</v>
      </c>
      <c r="P182" s="139">
        <f t="shared" si="44"/>
        <v>37189.3</v>
      </c>
      <c r="Q182" s="158">
        <f t="shared" si="45"/>
        <v>22393</v>
      </c>
      <c r="R182" s="158">
        <f t="shared" si="46"/>
        <v>-14796.300000000003</v>
      </c>
      <c r="S182" s="159">
        <f t="shared" si="47"/>
        <v>60.21355604972397</v>
      </c>
    </row>
    <row r="183" spans="3:19" s="172" customFormat="1" ht="56.25">
      <c r="C183" s="33"/>
      <c r="D183" s="33"/>
      <c r="E183" s="33"/>
      <c r="F183" s="42" t="s">
        <v>618</v>
      </c>
      <c r="G183" s="139"/>
      <c r="H183" s="139"/>
      <c r="I183" s="138"/>
      <c r="J183" s="139">
        <v>36446</v>
      </c>
      <c r="K183" s="165"/>
      <c r="L183" s="139">
        <v>21721.2</v>
      </c>
      <c r="M183" s="139">
        <v>21721.2</v>
      </c>
      <c r="N183" s="171"/>
      <c r="O183" s="147">
        <f t="shared" si="42"/>
        <v>59.59830982823904</v>
      </c>
      <c r="P183" s="139">
        <f t="shared" si="44"/>
        <v>36446</v>
      </c>
      <c r="Q183" s="158">
        <f t="shared" si="45"/>
        <v>21721.2</v>
      </c>
      <c r="R183" s="158">
        <f t="shared" si="46"/>
        <v>-14724.8</v>
      </c>
      <c r="S183" s="159">
        <f t="shared" si="47"/>
        <v>59.59830982823904</v>
      </c>
    </row>
    <row r="184" spans="3:19" s="172" customFormat="1" ht="75">
      <c r="C184" s="33"/>
      <c r="D184" s="33"/>
      <c r="E184" s="33"/>
      <c r="F184" s="42" t="s">
        <v>619</v>
      </c>
      <c r="G184" s="139"/>
      <c r="H184" s="139"/>
      <c r="I184" s="138"/>
      <c r="J184" s="139">
        <v>743.3</v>
      </c>
      <c r="K184" s="165"/>
      <c r="L184" s="139">
        <v>671.8</v>
      </c>
      <c r="M184" s="139">
        <v>671.8</v>
      </c>
      <c r="N184" s="171"/>
      <c r="O184" s="147">
        <f t="shared" si="42"/>
        <v>90.38073456208798</v>
      </c>
      <c r="P184" s="139">
        <f t="shared" si="44"/>
        <v>743.3</v>
      </c>
      <c r="Q184" s="158">
        <f t="shared" si="45"/>
        <v>671.8</v>
      </c>
      <c r="R184" s="158">
        <f t="shared" si="46"/>
        <v>-71.5</v>
      </c>
      <c r="S184" s="159">
        <f t="shared" si="47"/>
        <v>90.38073456208798</v>
      </c>
    </row>
    <row r="185" spans="3:19" s="6" customFormat="1" ht="47.25" customHeight="1" hidden="1">
      <c r="C185" s="30" t="s">
        <v>356</v>
      </c>
      <c r="D185" s="30" t="s">
        <v>200</v>
      </c>
      <c r="E185" s="30"/>
      <c r="F185" s="31" t="s">
        <v>201</v>
      </c>
      <c r="G185" s="138">
        <f>G186</f>
        <v>0</v>
      </c>
      <c r="H185" s="138">
        <f aca="true" t="shared" si="50" ref="H185:N185">H186</f>
        <v>0</v>
      </c>
      <c r="I185" s="138" t="e">
        <f t="shared" si="33"/>
        <v>#DIV/0!</v>
      </c>
      <c r="J185" s="138">
        <f t="shared" si="41"/>
        <v>0</v>
      </c>
      <c r="K185" s="138">
        <f t="shared" si="50"/>
        <v>0</v>
      </c>
      <c r="L185" s="138">
        <f t="shared" si="50"/>
        <v>0</v>
      </c>
      <c r="M185" s="138">
        <f t="shared" si="50"/>
        <v>0</v>
      </c>
      <c r="N185" s="112">
        <f t="shared" si="50"/>
        <v>0</v>
      </c>
      <c r="O185" s="147" t="e">
        <f t="shared" si="42"/>
        <v>#DIV/0!</v>
      </c>
      <c r="P185" s="139">
        <f t="shared" si="44"/>
        <v>0</v>
      </c>
      <c r="Q185" s="158">
        <f t="shared" si="45"/>
        <v>0</v>
      </c>
      <c r="R185" s="158">
        <f t="shared" si="46"/>
        <v>0</v>
      </c>
      <c r="S185" s="159" t="e">
        <f t="shared" si="47"/>
        <v>#DIV/0!</v>
      </c>
    </row>
    <row r="186" spans="3:19" s="6" customFormat="1" ht="36.75" customHeight="1" hidden="1">
      <c r="C186" s="30" t="s">
        <v>268</v>
      </c>
      <c r="D186" s="30" t="s">
        <v>221</v>
      </c>
      <c r="E186" s="30"/>
      <c r="F186" s="40" t="s">
        <v>222</v>
      </c>
      <c r="G186" s="138">
        <f>G187</f>
        <v>0</v>
      </c>
      <c r="H186" s="138">
        <f>H188</f>
        <v>0</v>
      </c>
      <c r="I186" s="138" t="e">
        <f t="shared" si="33"/>
        <v>#DIV/0!</v>
      </c>
      <c r="J186" s="138">
        <f aca="true" t="shared" si="51" ref="J186:J192">K186+N186</f>
        <v>0</v>
      </c>
      <c r="K186" s="138">
        <f aca="true" t="shared" si="52" ref="K186:N187">K187</f>
        <v>0</v>
      </c>
      <c r="L186" s="138">
        <f t="shared" si="52"/>
        <v>0</v>
      </c>
      <c r="M186" s="138">
        <f t="shared" si="52"/>
        <v>0</v>
      </c>
      <c r="N186" s="112">
        <f t="shared" si="52"/>
        <v>0</v>
      </c>
      <c r="O186" s="147" t="e">
        <f t="shared" si="42"/>
        <v>#DIV/0!</v>
      </c>
      <c r="P186" s="139">
        <f aca="true" t="shared" si="53" ref="P186:P195">G186+J186</f>
        <v>0</v>
      </c>
      <c r="Q186" s="158">
        <f aca="true" t="shared" si="54" ref="Q186:Q195">H186+L186</f>
        <v>0</v>
      </c>
      <c r="R186" s="158">
        <f aca="true" t="shared" si="55" ref="R186:R195">Q186-P186</f>
        <v>0</v>
      </c>
      <c r="S186" s="159" t="e">
        <f aca="true" t="shared" si="56" ref="S186:S195">Q186/P186*100</f>
        <v>#DIV/0!</v>
      </c>
    </row>
    <row r="187" spans="3:19" s="6" customFormat="1" ht="136.5" customHeight="1" hidden="1">
      <c r="C187" s="33" t="s">
        <v>436</v>
      </c>
      <c r="D187" s="33" t="s">
        <v>437</v>
      </c>
      <c r="E187" s="33" t="s">
        <v>62</v>
      </c>
      <c r="F187" s="42" t="s">
        <v>438</v>
      </c>
      <c r="G187" s="138">
        <f>G188</f>
        <v>0</v>
      </c>
      <c r="H187" s="138"/>
      <c r="I187" s="138" t="e">
        <f t="shared" si="33"/>
        <v>#DIV/0!</v>
      </c>
      <c r="J187" s="142">
        <f t="shared" si="51"/>
        <v>0</v>
      </c>
      <c r="K187" s="138">
        <f t="shared" si="52"/>
        <v>0</v>
      </c>
      <c r="L187" s="138">
        <f t="shared" si="52"/>
        <v>0</v>
      </c>
      <c r="M187" s="138">
        <f t="shared" si="52"/>
        <v>0</v>
      </c>
      <c r="N187" s="112">
        <f t="shared" si="52"/>
        <v>0</v>
      </c>
      <c r="O187" s="147" t="e">
        <f t="shared" si="42"/>
        <v>#DIV/0!</v>
      </c>
      <c r="P187" s="139">
        <f t="shared" si="53"/>
        <v>0</v>
      </c>
      <c r="Q187" s="158">
        <f t="shared" si="54"/>
        <v>0</v>
      </c>
      <c r="R187" s="158">
        <f t="shared" si="55"/>
        <v>0</v>
      </c>
      <c r="S187" s="159" t="e">
        <f t="shared" si="56"/>
        <v>#DIV/0!</v>
      </c>
    </row>
    <row r="188" spans="3:19" s="37" customFormat="1" ht="60.75" customHeight="1" hidden="1">
      <c r="C188" s="33"/>
      <c r="D188" s="33"/>
      <c r="E188" s="33"/>
      <c r="F188" s="42" t="s">
        <v>148</v>
      </c>
      <c r="G188" s="142"/>
      <c r="H188" s="146"/>
      <c r="I188" s="138" t="e">
        <f t="shared" si="33"/>
        <v>#DIV/0!</v>
      </c>
      <c r="J188" s="142">
        <f t="shared" si="51"/>
        <v>0</v>
      </c>
      <c r="K188" s="142"/>
      <c r="L188" s="146"/>
      <c r="M188" s="146"/>
      <c r="N188" s="113"/>
      <c r="O188" s="147" t="e">
        <f t="shared" si="42"/>
        <v>#DIV/0!</v>
      </c>
      <c r="P188" s="139">
        <f t="shared" si="53"/>
        <v>0</v>
      </c>
      <c r="Q188" s="158">
        <f t="shared" si="54"/>
        <v>0</v>
      </c>
      <c r="R188" s="158">
        <f t="shared" si="55"/>
        <v>0</v>
      </c>
      <c r="S188" s="159" t="e">
        <f t="shared" si="56"/>
        <v>#DIV/0!</v>
      </c>
    </row>
    <row r="189" spans="3:19" s="46" customFormat="1" ht="39.75" customHeight="1" hidden="1">
      <c r="C189" s="28" t="s">
        <v>357</v>
      </c>
      <c r="D189" s="28" t="s">
        <v>346</v>
      </c>
      <c r="E189" s="28"/>
      <c r="F189" s="29" t="s">
        <v>347</v>
      </c>
      <c r="G189" s="139">
        <f>G190</f>
        <v>0</v>
      </c>
      <c r="H189" s="139">
        <f>H190</f>
        <v>0</v>
      </c>
      <c r="I189" s="138" t="e">
        <f t="shared" si="33"/>
        <v>#DIV/0!</v>
      </c>
      <c r="J189" s="139">
        <f t="shared" si="51"/>
        <v>0</v>
      </c>
      <c r="K189" s="139">
        <f>K190</f>
        <v>0</v>
      </c>
      <c r="L189" s="139">
        <f>L190</f>
        <v>0</v>
      </c>
      <c r="M189" s="139">
        <f>M190</f>
        <v>0</v>
      </c>
      <c r="N189" s="114">
        <f>N190</f>
        <v>0</v>
      </c>
      <c r="O189" s="147" t="e">
        <f t="shared" si="42"/>
        <v>#DIV/0!</v>
      </c>
      <c r="P189" s="139">
        <f t="shared" si="53"/>
        <v>0</v>
      </c>
      <c r="Q189" s="158">
        <f t="shared" si="54"/>
        <v>0</v>
      </c>
      <c r="R189" s="158">
        <f t="shared" si="55"/>
        <v>0</v>
      </c>
      <c r="S189" s="159" t="e">
        <f t="shared" si="56"/>
        <v>#DIV/0!</v>
      </c>
    </row>
    <row r="190" spans="3:19" s="6" customFormat="1" ht="60.75" customHeight="1" hidden="1">
      <c r="C190" s="30" t="s">
        <v>358</v>
      </c>
      <c r="D190" s="30" t="s">
        <v>349</v>
      </c>
      <c r="E190" s="30"/>
      <c r="F190" s="31" t="s">
        <v>440</v>
      </c>
      <c r="G190" s="138">
        <f>G191</f>
        <v>0</v>
      </c>
      <c r="H190" s="138">
        <f aca="true" t="shared" si="57" ref="H190:N190">H191</f>
        <v>0</v>
      </c>
      <c r="I190" s="138" t="e">
        <f t="shared" si="33"/>
        <v>#DIV/0!</v>
      </c>
      <c r="J190" s="138">
        <f t="shared" si="51"/>
        <v>0</v>
      </c>
      <c r="K190" s="138">
        <f t="shared" si="57"/>
        <v>0</v>
      </c>
      <c r="L190" s="138">
        <f t="shared" si="57"/>
        <v>0</v>
      </c>
      <c r="M190" s="138">
        <f t="shared" si="57"/>
        <v>0</v>
      </c>
      <c r="N190" s="112">
        <f t="shared" si="57"/>
        <v>0</v>
      </c>
      <c r="O190" s="147" t="e">
        <f t="shared" si="42"/>
        <v>#DIV/0!</v>
      </c>
      <c r="P190" s="139">
        <f t="shared" si="53"/>
        <v>0</v>
      </c>
      <c r="Q190" s="158">
        <f t="shared" si="54"/>
        <v>0</v>
      </c>
      <c r="R190" s="158">
        <f t="shared" si="55"/>
        <v>0</v>
      </c>
      <c r="S190" s="159" t="e">
        <f t="shared" si="56"/>
        <v>#DIV/0!</v>
      </c>
    </row>
    <row r="191" spans="3:19" s="37" customFormat="1" ht="34.5" customHeight="1" hidden="1">
      <c r="C191" s="30" t="s">
        <v>278</v>
      </c>
      <c r="D191" s="30" t="s">
        <v>279</v>
      </c>
      <c r="E191" s="30" t="s">
        <v>59</v>
      </c>
      <c r="F191" s="31" t="s">
        <v>277</v>
      </c>
      <c r="G191" s="138">
        <f>G192</f>
        <v>0</v>
      </c>
      <c r="H191" s="138">
        <f aca="true" t="shared" si="58" ref="H191:N191">H192</f>
        <v>0</v>
      </c>
      <c r="I191" s="138" t="e">
        <f t="shared" si="33"/>
        <v>#DIV/0!</v>
      </c>
      <c r="J191" s="138">
        <f t="shared" si="51"/>
        <v>0</v>
      </c>
      <c r="K191" s="138">
        <f t="shared" si="58"/>
        <v>0</v>
      </c>
      <c r="L191" s="138">
        <f t="shared" si="58"/>
        <v>0</v>
      </c>
      <c r="M191" s="138">
        <f t="shared" si="58"/>
        <v>0</v>
      </c>
      <c r="N191" s="112">
        <f t="shared" si="58"/>
        <v>0</v>
      </c>
      <c r="O191" s="147" t="e">
        <f t="shared" si="42"/>
        <v>#DIV/0!</v>
      </c>
      <c r="P191" s="139">
        <f t="shared" si="53"/>
        <v>0</v>
      </c>
      <c r="Q191" s="158">
        <f t="shared" si="54"/>
        <v>0</v>
      </c>
      <c r="R191" s="158">
        <f t="shared" si="55"/>
        <v>0</v>
      </c>
      <c r="S191" s="159" t="e">
        <f t="shared" si="56"/>
        <v>#DIV/0!</v>
      </c>
    </row>
    <row r="192" spans="3:19" s="37" customFormat="1" ht="177" customHeight="1" hidden="1">
      <c r="C192" s="33"/>
      <c r="D192" s="33"/>
      <c r="E192" s="33"/>
      <c r="F192" s="42" t="s">
        <v>280</v>
      </c>
      <c r="G192" s="142"/>
      <c r="H192" s="146"/>
      <c r="I192" s="138" t="e">
        <f t="shared" si="33"/>
        <v>#DIV/0!</v>
      </c>
      <c r="J192" s="142">
        <f t="shared" si="51"/>
        <v>0</v>
      </c>
      <c r="K192" s="142"/>
      <c r="L192" s="146"/>
      <c r="M192" s="146"/>
      <c r="N192" s="113"/>
      <c r="O192" s="147" t="e">
        <f aca="true" t="shared" si="59" ref="O192:O246">L192/J192*100</f>
        <v>#DIV/0!</v>
      </c>
      <c r="P192" s="139">
        <f t="shared" si="53"/>
        <v>0</v>
      </c>
      <c r="Q192" s="158">
        <f t="shared" si="54"/>
        <v>0</v>
      </c>
      <c r="R192" s="158">
        <f t="shared" si="55"/>
        <v>0</v>
      </c>
      <c r="S192" s="159" t="e">
        <f t="shared" si="56"/>
        <v>#DIV/0!</v>
      </c>
    </row>
    <row r="193" spans="3:19" s="37" customFormat="1" ht="22.5" customHeight="1">
      <c r="C193" s="28"/>
      <c r="D193" s="28"/>
      <c r="E193" s="28"/>
      <c r="F193" s="29" t="s">
        <v>347</v>
      </c>
      <c r="G193" s="138">
        <f>G194</f>
        <v>0</v>
      </c>
      <c r="H193" s="138">
        <f>H194</f>
        <v>0</v>
      </c>
      <c r="I193" s="138"/>
      <c r="J193" s="138">
        <f aca="true" t="shared" si="60" ref="J193:M194">J194</f>
        <v>600</v>
      </c>
      <c r="K193" s="138">
        <f t="shared" si="60"/>
        <v>0</v>
      </c>
      <c r="L193" s="138">
        <f t="shared" si="60"/>
        <v>554.5</v>
      </c>
      <c r="M193" s="138">
        <f t="shared" si="60"/>
        <v>554.5</v>
      </c>
      <c r="N193" s="113"/>
      <c r="O193" s="147">
        <f t="shared" si="59"/>
        <v>92.41666666666667</v>
      </c>
      <c r="P193" s="139">
        <f t="shared" si="53"/>
        <v>600</v>
      </c>
      <c r="Q193" s="158">
        <f t="shared" si="54"/>
        <v>554.5</v>
      </c>
      <c r="R193" s="158">
        <f t="shared" si="55"/>
        <v>-45.5</v>
      </c>
      <c r="S193" s="159">
        <f t="shared" si="56"/>
        <v>92.41666666666667</v>
      </c>
    </row>
    <row r="194" spans="3:19" s="37" customFormat="1" ht="30" customHeight="1">
      <c r="C194" s="30" t="s">
        <v>278</v>
      </c>
      <c r="D194" s="30" t="s">
        <v>279</v>
      </c>
      <c r="E194" s="30" t="s">
        <v>59</v>
      </c>
      <c r="F194" s="31" t="s">
        <v>277</v>
      </c>
      <c r="G194" s="138">
        <f>G195</f>
        <v>0</v>
      </c>
      <c r="H194" s="138">
        <f>H195</f>
        <v>0</v>
      </c>
      <c r="I194" s="138"/>
      <c r="J194" s="138">
        <f t="shared" si="60"/>
        <v>600</v>
      </c>
      <c r="K194" s="138">
        <f t="shared" si="60"/>
        <v>0</v>
      </c>
      <c r="L194" s="138">
        <f t="shared" si="60"/>
        <v>554.5</v>
      </c>
      <c r="M194" s="138">
        <f t="shared" si="60"/>
        <v>554.5</v>
      </c>
      <c r="N194" s="113"/>
      <c r="O194" s="147">
        <f t="shared" si="59"/>
        <v>92.41666666666667</v>
      </c>
      <c r="P194" s="139">
        <f t="shared" si="53"/>
        <v>600</v>
      </c>
      <c r="Q194" s="158">
        <f t="shared" si="54"/>
        <v>554.5</v>
      </c>
      <c r="R194" s="158">
        <f t="shared" si="55"/>
        <v>-45.5</v>
      </c>
      <c r="S194" s="159">
        <f t="shared" si="56"/>
        <v>92.41666666666667</v>
      </c>
    </row>
    <row r="195" spans="3:19" s="37" customFormat="1" ht="189" customHeight="1">
      <c r="C195" s="33"/>
      <c r="D195" s="33"/>
      <c r="E195" s="33"/>
      <c r="F195" s="42" t="s">
        <v>610</v>
      </c>
      <c r="G195" s="142"/>
      <c r="H195" s="146"/>
      <c r="I195" s="138"/>
      <c r="J195" s="142">
        <v>600</v>
      </c>
      <c r="K195" s="142"/>
      <c r="L195" s="146">
        <v>554.5</v>
      </c>
      <c r="M195" s="146">
        <v>554.5</v>
      </c>
      <c r="N195" s="113"/>
      <c r="O195" s="147">
        <f t="shared" si="59"/>
        <v>92.41666666666667</v>
      </c>
      <c r="P195" s="139">
        <f t="shared" si="53"/>
        <v>600</v>
      </c>
      <c r="Q195" s="158">
        <f t="shared" si="54"/>
        <v>554.5</v>
      </c>
      <c r="R195" s="158">
        <f t="shared" si="55"/>
        <v>-45.5</v>
      </c>
      <c r="S195" s="159">
        <f t="shared" si="56"/>
        <v>92.41666666666667</v>
      </c>
    </row>
    <row r="196" spans="3:19" s="95" customFormat="1" ht="32.25" customHeight="1">
      <c r="C196" s="96"/>
      <c r="D196" s="96"/>
      <c r="E196" s="96"/>
      <c r="F196" s="99" t="s">
        <v>10</v>
      </c>
      <c r="G196" s="144">
        <f>G87+G91+G119+G177+G181+G189</f>
        <v>138903.2</v>
      </c>
      <c r="H196" s="144">
        <f>H87+H91+H119+H177+H181+H189</f>
        <v>134995.6</v>
      </c>
      <c r="I196" s="138">
        <f t="shared" si="33"/>
        <v>97.18681787028665</v>
      </c>
      <c r="J196" s="144">
        <f>J87+J91+J119+J177+J181+J189+J193</f>
        <v>46063.3</v>
      </c>
      <c r="K196" s="144">
        <f>K87+K91+K119+K177+K181+K189+K193</f>
        <v>6707.0024</v>
      </c>
      <c r="L196" s="144">
        <f>L87+L91+L119+L177+L181+L189+L193</f>
        <v>31021.5</v>
      </c>
      <c r="M196" s="144">
        <f>M87+M91+M119+M177+M181+M189+M193</f>
        <v>23354.8</v>
      </c>
      <c r="N196" s="117" t="e">
        <f>N87+N91+N119+N177+N181+N189</f>
        <v>#REF!</v>
      </c>
      <c r="O196" s="147">
        <f t="shared" si="59"/>
        <v>67.34537039248164</v>
      </c>
      <c r="P196" s="139">
        <f t="shared" si="34"/>
        <v>184966.5</v>
      </c>
      <c r="Q196" s="158">
        <f t="shared" si="35"/>
        <v>166017.1</v>
      </c>
      <c r="R196" s="158">
        <f t="shared" si="36"/>
        <v>-18949.399999999994</v>
      </c>
      <c r="S196" s="159">
        <f t="shared" si="37"/>
        <v>89.75522594632001</v>
      </c>
    </row>
    <row r="197" spans="3:19" s="46" customFormat="1" ht="48.75" customHeight="1">
      <c r="C197" s="28" t="s">
        <v>173</v>
      </c>
      <c r="D197" s="28"/>
      <c r="E197" s="28"/>
      <c r="F197" s="44" t="s">
        <v>15</v>
      </c>
      <c r="G197" s="139"/>
      <c r="H197" s="139"/>
      <c r="I197" s="138"/>
      <c r="J197" s="139"/>
      <c r="K197" s="139"/>
      <c r="L197" s="139"/>
      <c r="M197" s="139"/>
      <c r="N197" s="114"/>
      <c r="O197" s="147"/>
      <c r="P197" s="139"/>
      <c r="Q197" s="158"/>
      <c r="R197" s="158"/>
      <c r="S197" s="159"/>
    </row>
    <row r="198" spans="3:19" s="6" customFormat="1" ht="51.75" customHeight="1">
      <c r="C198" s="30" t="s">
        <v>317</v>
      </c>
      <c r="D198" s="30"/>
      <c r="E198" s="30"/>
      <c r="F198" s="44" t="s">
        <v>16</v>
      </c>
      <c r="G198" s="138"/>
      <c r="H198" s="138"/>
      <c r="I198" s="138"/>
      <c r="J198" s="138"/>
      <c r="K198" s="138"/>
      <c r="L198" s="138"/>
      <c r="M198" s="138"/>
      <c r="N198" s="112"/>
      <c r="O198" s="147"/>
      <c r="P198" s="139"/>
      <c r="Q198" s="158"/>
      <c r="R198" s="158"/>
      <c r="S198" s="159"/>
    </row>
    <row r="199" spans="3:19" s="46" customFormat="1" ht="51.75" customHeight="1">
      <c r="C199" s="28"/>
      <c r="D199" s="28"/>
      <c r="E199" s="28"/>
      <c r="F199" s="44" t="s">
        <v>351</v>
      </c>
      <c r="G199" s="139">
        <f>G200</f>
        <v>2196.1</v>
      </c>
      <c r="H199" s="139">
        <f>H200</f>
        <v>2194.5</v>
      </c>
      <c r="I199" s="138">
        <f t="shared" si="33"/>
        <v>99.92714357269705</v>
      </c>
      <c r="J199" s="139">
        <f>J200</f>
        <v>367.3</v>
      </c>
      <c r="K199" s="139">
        <f>K200</f>
        <v>18</v>
      </c>
      <c r="L199" s="139">
        <f>L200</f>
        <v>359.6</v>
      </c>
      <c r="M199" s="139">
        <f>M200</f>
        <v>347</v>
      </c>
      <c r="N199" s="114">
        <f>N200</f>
        <v>20</v>
      </c>
      <c r="O199" s="147">
        <f t="shared" si="59"/>
        <v>97.90362101824122</v>
      </c>
      <c r="P199" s="139">
        <f t="shared" si="34"/>
        <v>2563.4</v>
      </c>
      <c r="Q199" s="158">
        <f t="shared" si="35"/>
        <v>2554.1</v>
      </c>
      <c r="R199" s="158">
        <f t="shared" si="36"/>
        <v>-9.300000000000182</v>
      </c>
      <c r="S199" s="159">
        <f t="shared" si="37"/>
        <v>99.63720059296246</v>
      </c>
    </row>
    <row r="200" spans="1:19" s="6" customFormat="1" ht="60" customHeight="1">
      <c r="A200" s="6">
        <v>4</v>
      </c>
      <c r="B200" s="6">
        <v>35</v>
      </c>
      <c r="C200" s="30" t="s">
        <v>174</v>
      </c>
      <c r="D200" s="30" t="s">
        <v>64</v>
      </c>
      <c r="E200" s="30" t="s">
        <v>60</v>
      </c>
      <c r="F200" s="31" t="s">
        <v>175</v>
      </c>
      <c r="G200" s="138">
        <f>G201+G202</f>
        <v>2196.1</v>
      </c>
      <c r="H200" s="138">
        <f>H201+H202</f>
        <v>2194.5</v>
      </c>
      <c r="I200" s="138">
        <f t="shared" si="33"/>
        <v>99.92714357269705</v>
      </c>
      <c r="J200" s="138">
        <f>J201+J202</f>
        <v>367.3</v>
      </c>
      <c r="K200" s="138">
        <f>K201+K202</f>
        <v>18</v>
      </c>
      <c r="L200" s="138">
        <f>L201+L202</f>
        <v>359.6</v>
      </c>
      <c r="M200" s="138">
        <f>M201+M202</f>
        <v>347</v>
      </c>
      <c r="N200" s="12">
        <f>N201+N202</f>
        <v>20</v>
      </c>
      <c r="O200" s="147">
        <f t="shared" si="59"/>
        <v>97.90362101824122</v>
      </c>
      <c r="P200" s="139">
        <f t="shared" si="34"/>
        <v>2563.4</v>
      </c>
      <c r="Q200" s="158">
        <f t="shared" si="35"/>
        <v>2554.1</v>
      </c>
      <c r="R200" s="158">
        <f t="shared" si="36"/>
        <v>-9.300000000000182</v>
      </c>
      <c r="S200" s="159">
        <f t="shared" si="37"/>
        <v>99.63720059296246</v>
      </c>
    </row>
    <row r="201" spans="3:19" s="37" customFormat="1" ht="50.25" customHeight="1">
      <c r="C201" s="33"/>
      <c r="D201" s="33"/>
      <c r="E201" s="33"/>
      <c r="F201" s="42" t="s">
        <v>176</v>
      </c>
      <c r="G201" s="142">
        <v>2196.1</v>
      </c>
      <c r="H201" s="142">
        <v>2194.5</v>
      </c>
      <c r="I201" s="138">
        <f t="shared" si="33"/>
        <v>99.92714357269705</v>
      </c>
      <c r="J201" s="142">
        <f>18+330.5</f>
        <v>348.5</v>
      </c>
      <c r="K201" s="142">
        <v>18</v>
      </c>
      <c r="L201" s="142">
        <f>12.6+328.2</f>
        <v>340.8</v>
      </c>
      <c r="M201" s="142">
        <v>328.2</v>
      </c>
      <c r="N201" s="113"/>
      <c r="O201" s="147">
        <f t="shared" si="59"/>
        <v>97.79053084648494</v>
      </c>
      <c r="P201" s="139">
        <f t="shared" si="34"/>
        <v>2544.6</v>
      </c>
      <c r="Q201" s="158">
        <f t="shared" si="35"/>
        <v>2535.3</v>
      </c>
      <c r="R201" s="158">
        <f t="shared" si="36"/>
        <v>-9.299999999999727</v>
      </c>
      <c r="S201" s="159">
        <f t="shared" si="37"/>
        <v>99.63452016033956</v>
      </c>
    </row>
    <row r="202" spans="3:19" s="37" customFormat="1" ht="50.25" customHeight="1">
      <c r="C202" s="33"/>
      <c r="D202" s="33"/>
      <c r="E202" s="33"/>
      <c r="F202" s="42" t="s">
        <v>514</v>
      </c>
      <c r="G202" s="142"/>
      <c r="H202" s="142"/>
      <c r="I202" s="161" t="e">
        <f t="shared" si="33"/>
        <v>#DIV/0!</v>
      </c>
      <c r="J202" s="142">
        <v>18.8</v>
      </c>
      <c r="K202" s="142"/>
      <c r="L202" s="142">
        <v>18.8</v>
      </c>
      <c r="M202" s="142">
        <v>18.8</v>
      </c>
      <c r="N202" s="113">
        <v>20</v>
      </c>
      <c r="O202" s="147">
        <f t="shared" si="59"/>
        <v>100</v>
      </c>
      <c r="P202" s="139">
        <f t="shared" si="34"/>
        <v>18.8</v>
      </c>
      <c r="Q202" s="158">
        <f t="shared" si="35"/>
        <v>18.8</v>
      </c>
      <c r="R202" s="158">
        <f t="shared" si="36"/>
        <v>0</v>
      </c>
      <c r="S202" s="159">
        <f t="shared" si="37"/>
        <v>100</v>
      </c>
    </row>
    <row r="203" spans="3:19" s="46" customFormat="1" ht="38.25" customHeight="1" hidden="1">
      <c r="C203" s="28" t="s">
        <v>359</v>
      </c>
      <c r="D203" s="28" t="s">
        <v>315</v>
      </c>
      <c r="E203" s="28"/>
      <c r="F203" s="29" t="s">
        <v>316</v>
      </c>
      <c r="G203" s="139">
        <f>G204</f>
        <v>0</v>
      </c>
      <c r="H203" s="139">
        <f aca="true" t="shared" si="61" ref="H203:N204">H204</f>
        <v>0</v>
      </c>
      <c r="I203" s="138" t="e">
        <f t="shared" si="33"/>
        <v>#DIV/0!</v>
      </c>
      <c r="J203" s="142">
        <f>K203+N203</f>
        <v>0</v>
      </c>
      <c r="K203" s="139">
        <f t="shared" si="61"/>
        <v>0</v>
      </c>
      <c r="L203" s="139">
        <f t="shared" si="61"/>
        <v>0</v>
      </c>
      <c r="M203" s="139">
        <f t="shared" si="61"/>
        <v>0</v>
      </c>
      <c r="N203" s="114">
        <f t="shared" si="61"/>
        <v>0</v>
      </c>
      <c r="O203" s="147" t="e">
        <f t="shared" si="59"/>
        <v>#DIV/0!</v>
      </c>
      <c r="P203" s="139">
        <f t="shared" si="34"/>
        <v>0</v>
      </c>
      <c r="Q203" s="158">
        <f t="shared" si="35"/>
        <v>0</v>
      </c>
      <c r="R203" s="158">
        <f t="shared" si="36"/>
        <v>0</v>
      </c>
      <c r="S203" s="159" t="e">
        <f t="shared" si="37"/>
        <v>#DIV/0!</v>
      </c>
    </row>
    <row r="204" spans="3:19" s="6" customFormat="1" ht="65.25" customHeight="1" hidden="1">
      <c r="C204" s="30" t="s">
        <v>360</v>
      </c>
      <c r="D204" s="30" t="s">
        <v>125</v>
      </c>
      <c r="E204" s="30"/>
      <c r="F204" s="31" t="s">
        <v>441</v>
      </c>
      <c r="G204" s="138">
        <f>G205</f>
        <v>0</v>
      </c>
      <c r="H204" s="138">
        <f t="shared" si="61"/>
        <v>0</v>
      </c>
      <c r="I204" s="138" t="e">
        <f t="shared" si="33"/>
        <v>#DIV/0!</v>
      </c>
      <c r="J204" s="142">
        <f>K204+N204</f>
        <v>0</v>
      </c>
      <c r="K204" s="138">
        <f t="shared" si="61"/>
        <v>0</v>
      </c>
      <c r="L204" s="138">
        <f t="shared" si="61"/>
        <v>0</v>
      </c>
      <c r="M204" s="138">
        <f t="shared" si="61"/>
        <v>0</v>
      </c>
      <c r="N204" s="112">
        <f t="shared" si="61"/>
        <v>0</v>
      </c>
      <c r="O204" s="147" t="e">
        <f t="shared" si="59"/>
        <v>#DIV/0!</v>
      </c>
      <c r="P204" s="139">
        <f t="shared" si="34"/>
        <v>0</v>
      </c>
      <c r="Q204" s="158">
        <f t="shared" si="35"/>
        <v>0</v>
      </c>
      <c r="R204" s="158">
        <f t="shared" si="36"/>
        <v>0</v>
      </c>
      <c r="S204" s="159" t="e">
        <f t="shared" si="37"/>
        <v>#DIV/0!</v>
      </c>
    </row>
    <row r="205" spans="3:19" s="6" customFormat="1" ht="44.25" customHeight="1" hidden="1">
      <c r="C205" s="30" t="s">
        <v>285</v>
      </c>
      <c r="D205" s="30" t="s">
        <v>95</v>
      </c>
      <c r="E205" s="30"/>
      <c r="F205" s="31" t="s">
        <v>28</v>
      </c>
      <c r="G205" s="138">
        <f>G206</f>
        <v>0</v>
      </c>
      <c r="H205" s="138">
        <f>H206</f>
        <v>0</v>
      </c>
      <c r="I205" s="138" t="e">
        <f t="shared" si="33"/>
        <v>#DIV/0!</v>
      </c>
      <c r="J205" s="142">
        <f>K205+N205</f>
        <v>0</v>
      </c>
      <c r="K205" s="138">
        <f aca="true" t="shared" si="62" ref="K205:N206">K206</f>
        <v>0</v>
      </c>
      <c r="L205" s="138">
        <f t="shared" si="62"/>
        <v>0</v>
      </c>
      <c r="M205" s="138">
        <f t="shared" si="62"/>
        <v>0</v>
      </c>
      <c r="N205" s="112">
        <f t="shared" si="62"/>
        <v>0</v>
      </c>
      <c r="O205" s="147" t="e">
        <f t="shared" si="59"/>
        <v>#DIV/0!</v>
      </c>
      <c r="P205" s="139">
        <f t="shared" si="34"/>
        <v>0</v>
      </c>
      <c r="Q205" s="158">
        <f t="shared" si="35"/>
        <v>0</v>
      </c>
      <c r="R205" s="158">
        <f t="shared" si="36"/>
        <v>0</v>
      </c>
      <c r="S205" s="159" t="e">
        <f t="shared" si="37"/>
        <v>#DIV/0!</v>
      </c>
    </row>
    <row r="206" spans="3:19" s="37" customFormat="1" ht="51.75" customHeight="1" hidden="1">
      <c r="C206" s="33" t="s">
        <v>286</v>
      </c>
      <c r="D206" s="33" t="s">
        <v>96</v>
      </c>
      <c r="E206" s="33" t="s">
        <v>74</v>
      </c>
      <c r="F206" s="42" t="s">
        <v>287</v>
      </c>
      <c r="G206" s="142">
        <f>G207</f>
        <v>0</v>
      </c>
      <c r="H206" s="142">
        <f>H207</f>
        <v>0</v>
      </c>
      <c r="I206" s="138" t="e">
        <f t="shared" si="33"/>
        <v>#DIV/0!</v>
      </c>
      <c r="J206" s="142">
        <f>K206+N206</f>
        <v>0</v>
      </c>
      <c r="K206" s="142">
        <f t="shared" si="62"/>
        <v>0</v>
      </c>
      <c r="L206" s="142">
        <f t="shared" si="62"/>
        <v>0</v>
      </c>
      <c r="M206" s="142">
        <f t="shared" si="62"/>
        <v>0</v>
      </c>
      <c r="N206" s="113">
        <f t="shared" si="62"/>
        <v>0</v>
      </c>
      <c r="O206" s="147" t="e">
        <f t="shared" si="59"/>
        <v>#DIV/0!</v>
      </c>
      <c r="P206" s="139">
        <f t="shared" si="34"/>
        <v>0</v>
      </c>
      <c r="Q206" s="158">
        <f t="shared" si="35"/>
        <v>0</v>
      </c>
      <c r="R206" s="158">
        <f t="shared" si="36"/>
        <v>0</v>
      </c>
      <c r="S206" s="159" t="e">
        <f t="shared" si="37"/>
        <v>#DIV/0!</v>
      </c>
    </row>
    <row r="207" spans="3:19" s="37" customFormat="1" ht="40.5" customHeight="1" hidden="1">
      <c r="C207" s="33"/>
      <c r="D207" s="33"/>
      <c r="E207" s="33"/>
      <c r="F207" s="91" t="s">
        <v>288</v>
      </c>
      <c r="G207" s="142"/>
      <c r="H207" s="142"/>
      <c r="I207" s="138" t="e">
        <f t="shared" si="33"/>
        <v>#DIV/0!</v>
      </c>
      <c r="J207" s="142">
        <f>K207+N207</f>
        <v>0</v>
      </c>
      <c r="K207" s="142"/>
      <c r="L207" s="142"/>
      <c r="M207" s="142"/>
      <c r="N207" s="113"/>
      <c r="O207" s="147" t="e">
        <f t="shared" si="59"/>
        <v>#DIV/0!</v>
      </c>
      <c r="P207" s="139">
        <f t="shared" si="34"/>
        <v>0</v>
      </c>
      <c r="Q207" s="158">
        <f t="shared" si="35"/>
        <v>0</v>
      </c>
      <c r="R207" s="158">
        <f t="shared" si="36"/>
        <v>0</v>
      </c>
      <c r="S207" s="159" t="e">
        <f t="shared" si="37"/>
        <v>#DIV/0!</v>
      </c>
    </row>
    <row r="208" spans="3:19" s="95" customFormat="1" ht="29.25" customHeight="1">
      <c r="C208" s="96"/>
      <c r="D208" s="96"/>
      <c r="E208" s="96"/>
      <c r="F208" s="99" t="s">
        <v>10</v>
      </c>
      <c r="G208" s="144">
        <f aca="true" t="shared" si="63" ref="G208:N208">G199+G203</f>
        <v>2196.1</v>
      </c>
      <c r="H208" s="144">
        <f t="shared" si="63"/>
        <v>2194.5</v>
      </c>
      <c r="I208" s="138">
        <f aca="true" t="shared" si="64" ref="I208:I267">H208/G208*100</f>
        <v>99.92714357269705</v>
      </c>
      <c r="J208" s="144">
        <f t="shared" si="63"/>
        <v>367.3</v>
      </c>
      <c r="K208" s="144">
        <f t="shared" si="63"/>
        <v>18</v>
      </c>
      <c r="L208" s="144">
        <f t="shared" si="63"/>
        <v>359.6</v>
      </c>
      <c r="M208" s="144">
        <f t="shared" si="63"/>
        <v>347</v>
      </c>
      <c r="N208" s="117">
        <f t="shared" si="63"/>
        <v>20</v>
      </c>
      <c r="O208" s="147">
        <f t="shared" si="59"/>
        <v>97.90362101824122</v>
      </c>
      <c r="P208" s="139">
        <f aca="true" t="shared" si="65" ref="P208:P267">G208+J208</f>
        <v>2563.4</v>
      </c>
      <c r="Q208" s="158">
        <f aca="true" t="shared" si="66" ref="Q208:Q267">H208+L208</f>
        <v>2554.1</v>
      </c>
      <c r="R208" s="158">
        <f aca="true" t="shared" si="67" ref="R208:R267">Q208-P208</f>
        <v>-9.300000000000182</v>
      </c>
      <c r="S208" s="159">
        <f aca="true" t="shared" si="68" ref="S208:S267">Q208/P208*100</f>
        <v>99.63720059296246</v>
      </c>
    </row>
    <row r="209" spans="3:19" s="46" customFormat="1" ht="79.5" customHeight="1">
      <c r="C209" s="28" t="s">
        <v>12</v>
      </c>
      <c r="D209" s="28"/>
      <c r="E209" s="28"/>
      <c r="F209" s="29" t="s">
        <v>53</v>
      </c>
      <c r="G209" s="139"/>
      <c r="H209" s="139"/>
      <c r="I209" s="138"/>
      <c r="J209" s="139"/>
      <c r="K209" s="139"/>
      <c r="L209" s="139"/>
      <c r="M209" s="139"/>
      <c r="N209" s="114"/>
      <c r="O209" s="147"/>
      <c r="P209" s="139"/>
      <c r="Q209" s="158"/>
      <c r="R209" s="158"/>
      <c r="S209" s="159"/>
    </row>
    <row r="210" spans="3:19" s="6" customFormat="1" ht="69.75" customHeight="1">
      <c r="C210" s="85" t="s">
        <v>13</v>
      </c>
      <c r="D210" s="28"/>
      <c r="E210" s="28"/>
      <c r="F210" s="29" t="s">
        <v>52</v>
      </c>
      <c r="G210" s="138"/>
      <c r="H210" s="138"/>
      <c r="I210" s="138"/>
      <c r="J210" s="138"/>
      <c r="K210" s="138"/>
      <c r="L210" s="138"/>
      <c r="M210" s="138"/>
      <c r="N210" s="112"/>
      <c r="O210" s="147"/>
      <c r="P210" s="139"/>
      <c r="Q210" s="158"/>
      <c r="R210" s="158"/>
      <c r="S210" s="159"/>
    </row>
    <row r="211" spans="3:19" s="6" customFormat="1" ht="31.5" customHeight="1">
      <c r="C211" s="28"/>
      <c r="D211" s="28"/>
      <c r="E211" s="28"/>
      <c r="F211" s="44" t="s">
        <v>351</v>
      </c>
      <c r="G211" s="139">
        <f>G212</f>
        <v>1420.9</v>
      </c>
      <c r="H211" s="139">
        <f>H212</f>
        <v>1420.2</v>
      </c>
      <c r="I211" s="138">
        <f t="shared" si="64"/>
        <v>99.95073544936308</v>
      </c>
      <c r="J211" s="139">
        <f aca="true" t="shared" si="69" ref="J211:J219">K211+N211</f>
        <v>0</v>
      </c>
      <c r="K211" s="139">
        <f>K212</f>
        <v>0</v>
      </c>
      <c r="L211" s="139">
        <f>L212</f>
        <v>0</v>
      </c>
      <c r="M211" s="139">
        <f>M212</f>
        <v>0</v>
      </c>
      <c r="N211" s="114">
        <f>N212</f>
        <v>0</v>
      </c>
      <c r="O211" s="147"/>
      <c r="P211" s="139">
        <f t="shared" si="65"/>
        <v>1420.9</v>
      </c>
      <c r="Q211" s="158">
        <f t="shared" si="66"/>
        <v>1420.2</v>
      </c>
      <c r="R211" s="158">
        <f t="shared" si="67"/>
        <v>-0.7000000000000455</v>
      </c>
      <c r="S211" s="159">
        <f t="shared" si="68"/>
        <v>99.95073544936308</v>
      </c>
    </row>
    <row r="212" spans="1:19" s="6" customFormat="1" ht="64.5" customHeight="1">
      <c r="A212" s="6">
        <v>7</v>
      </c>
      <c r="B212" s="6">
        <v>47</v>
      </c>
      <c r="C212" s="30" t="s">
        <v>164</v>
      </c>
      <c r="D212" s="30" t="s">
        <v>64</v>
      </c>
      <c r="E212" s="30" t="s">
        <v>60</v>
      </c>
      <c r="F212" s="31" t="s">
        <v>172</v>
      </c>
      <c r="G212" s="138">
        <f>G213</f>
        <v>1420.9</v>
      </c>
      <c r="H212" s="138">
        <f aca="true" t="shared" si="70" ref="H212:N212">H213</f>
        <v>1420.2</v>
      </c>
      <c r="I212" s="138">
        <f t="shared" si="64"/>
        <v>99.95073544936308</v>
      </c>
      <c r="J212" s="138">
        <f t="shared" si="69"/>
        <v>0</v>
      </c>
      <c r="K212" s="138">
        <f t="shared" si="70"/>
        <v>0</v>
      </c>
      <c r="L212" s="138">
        <f t="shared" si="70"/>
        <v>0</v>
      </c>
      <c r="M212" s="138">
        <f t="shared" si="70"/>
        <v>0</v>
      </c>
      <c r="N212" s="112">
        <f t="shared" si="70"/>
        <v>0</v>
      </c>
      <c r="O212" s="147"/>
      <c r="P212" s="139">
        <f t="shared" si="65"/>
        <v>1420.9</v>
      </c>
      <c r="Q212" s="158">
        <f t="shared" si="66"/>
        <v>1420.2</v>
      </c>
      <c r="R212" s="158">
        <f t="shared" si="67"/>
        <v>-0.7000000000000455</v>
      </c>
      <c r="S212" s="159">
        <f t="shared" si="68"/>
        <v>99.95073544936308</v>
      </c>
    </row>
    <row r="213" spans="3:19" s="37" customFormat="1" ht="40.5" customHeight="1">
      <c r="C213" s="33"/>
      <c r="D213" s="33"/>
      <c r="E213" s="33"/>
      <c r="F213" s="42" t="s">
        <v>177</v>
      </c>
      <c r="G213" s="138">
        <v>1420.9</v>
      </c>
      <c r="H213" s="140">
        <v>1420.2</v>
      </c>
      <c r="I213" s="138">
        <f t="shared" si="64"/>
        <v>99.95073544936308</v>
      </c>
      <c r="J213" s="142">
        <f t="shared" si="69"/>
        <v>0</v>
      </c>
      <c r="K213" s="140"/>
      <c r="L213" s="140"/>
      <c r="M213" s="140"/>
      <c r="N213" s="115"/>
      <c r="O213" s="147"/>
      <c r="P213" s="139">
        <f t="shared" si="65"/>
        <v>1420.9</v>
      </c>
      <c r="Q213" s="158">
        <f t="shared" si="66"/>
        <v>1420.2</v>
      </c>
      <c r="R213" s="158">
        <f t="shared" si="67"/>
        <v>-0.7000000000000455</v>
      </c>
      <c r="S213" s="159">
        <f t="shared" si="68"/>
        <v>99.95073544936308</v>
      </c>
    </row>
    <row r="214" spans="3:19" s="46" customFormat="1" ht="40.5" customHeight="1">
      <c r="C214" s="28"/>
      <c r="D214" s="28"/>
      <c r="E214" s="28"/>
      <c r="F214" s="29" t="s">
        <v>312</v>
      </c>
      <c r="G214" s="139">
        <f>G215</f>
        <v>5334.9</v>
      </c>
      <c r="H214" s="139">
        <f aca="true" t="shared" si="71" ref="H214:N215">H215</f>
        <v>5310.9</v>
      </c>
      <c r="I214" s="138">
        <f t="shared" si="64"/>
        <v>99.55013214868133</v>
      </c>
      <c r="J214" s="139">
        <f>J215</f>
        <v>605.8</v>
      </c>
      <c r="K214" s="139">
        <f>K215</f>
        <v>299.97</v>
      </c>
      <c r="L214" s="139">
        <f>L215</f>
        <v>596.6999999999999</v>
      </c>
      <c r="M214" s="139">
        <f t="shared" si="71"/>
        <v>293.5</v>
      </c>
      <c r="N214" s="114">
        <f t="shared" si="71"/>
        <v>294</v>
      </c>
      <c r="O214" s="147">
        <f t="shared" si="59"/>
        <v>98.49785407725321</v>
      </c>
      <c r="P214" s="139">
        <f t="shared" si="65"/>
        <v>5940.7</v>
      </c>
      <c r="Q214" s="158">
        <f t="shared" si="66"/>
        <v>5907.599999999999</v>
      </c>
      <c r="R214" s="158">
        <f t="shared" si="67"/>
        <v>-33.100000000000364</v>
      </c>
      <c r="S214" s="159">
        <f t="shared" si="68"/>
        <v>99.44282660292558</v>
      </c>
    </row>
    <row r="215" spans="1:19" s="6" customFormat="1" ht="63.75" customHeight="1">
      <c r="A215" s="6">
        <v>3</v>
      </c>
      <c r="B215" s="6">
        <v>50</v>
      </c>
      <c r="C215" s="30" t="s">
        <v>301</v>
      </c>
      <c r="D215" s="30" t="s">
        <v>361</v>
      </c>
      <c r="E215" s="30" t="s">
        <v>70</v>
      </c>
      <c r="F215" s="41" t="s">
        <v>302</v>
      </c>
      <c r="G215" s="138">
        <f>G216</f>
        <v>5334.9</v>
      </c>
      <c r="H215" s="138">
        <f t="shared" si="71"/>
        <v>5310.9</v>
      </c>
      <c r="I215" s="138">
        <f t="shared" si="64"/>
        <v>99.55013214868133</v>
      </c>
      <c r="J215" s="138">
        <f t="shared" si="71"/>
        <v>605.8</v>
      </c>
      <c r="K215" s="138">
        <f t="shared" si="71"/>
        <v>299.97</v>
      </c>
      <c r="L215" s="138">
        <f t="shared" si="71"/>
        <v>596.6999999999999</v>
      </c>
      <c r="M215" s="138">
        <f t="shared" si="71"/>
        <v>293.5</v>
      </c>
      <c r="N215" s="12">
        <f t="shared" si="71"/>
        <v>294</v>
      </c>
      <c r="O215" s="147">
        <f t="shared" si="59"/>
        <v>98.49785407725321</v>
      </c>
      <c r="P215" s="139">
        <f t="shared" si="65"/>
        <v>5940.7</v>
      </c>
      <c r="Q215" s="158">
        <f t="shared" si="66"/>
        <v>5907.599999999999</v>
      </c>
      <c r="R215" s="158">
        <f t="shared" si="67"/>
        <v>-33.100000000000364</v>
      </c>
      <c r="S215" s="159">
        <f t="shared" si="68"/>
        <v>99.44282660292558</v>
      </c>
    </row>
    <row r="216" spans="3:19" s="37" customFormat="1" ht="34.5" customHeight="1">
      <c r="C216" s="33"/>
      <c r="D216" s="33"/>
      <c r="E216" s="33"/>
      <c r="F216" s="35" t="s">
        <v>515</v>
      </c>
      <c r="G216" s="142">
        <v>5334.9</v>
      </c>
      <c r="H216" s="142">
        <v>5310.9</v>
      </c>
      <c r="I216" s="138">
        <f t="shared" si="64"/>
        <v>99.55013214868133</v>
      </c>
      <c r="J216" s="142">
        <f>300+294+11.8</f>
        <v>605.8</v>
      </c>
      <c r="K216" s="142">
        <v>299.97</v>
      </c>
      <c r="L216" s="142">
        <f>291.5+11.8+293.5-0.1</f>
        <v>596.6999999999999</v>
      </c>
      <c r="M216" s="142">
        <v>293.5</v>
      </c>
      <c r="N216" s="113">
        <v>294</v>
      </c>
      <c r="O216" s="147">
        <f t="shared" si="59"/>
        <v>98.49785407725321</v>
      </c>
      <c r="P216" s="139">
        <f t="shared" si="65"/>
        <v>5940.7</v>
      </c>
      <c r="Q216" s="158">
        <f t="shared" si="66"/>
        <v>5907.599999999999</v>
      </c>
      <c r="R216" s="158">
        <f t="shared" si="67"/>
        <v>-33.100000000000364</v>
      </c>
      <c r="S216" s="159">
        <f t="shared" si="68"/>
        <v>99.44282660292558</v>
      </c>
    </row>
    <row r="217" spans="3:19" s="37" customFormat="1" ht="40.5" customHeight="1">
      <c r="C217" s="28"/>
      <c r="D217" s="28"/>
      <c r="E217" s="28"/>
      <c r="F217" s="29" t="s">
        <v>316</v>
      </c>
      <c r="G217" s="139">
        <f>G218</f>
        <v>95</v>
      </c>
      <c r="H217" s="139">
        <f>H218</f>
        <v>94.8</v>
      </c>
      <c r="I217" s="138">
        <f t="shared" si="64"/>
        <v>99.78947368421053</v>
      </c>
      <c r="J217" s="139">
        <f>J218</f>
        <v>0</v>
      </c>
      <c r="K217" s="139">
        <f>K218</f>
        <v>0</v>
      </c>
      <c r="L217" s="139">
        <f>L218</f>
        <v>0</v>
      </c>
      <c r="M217" s="139">
        <f>M218</f>
        <v>0</v>
      </c>
      <c r="N217" s="114" t="e">
        <f>#REF!</f>
        <v>#REF!</v>
      </c>
      <c r="O217" s="147"/>
      <c r="P217" s="139">
        <f t="shared" si="65"/>
        <v>95</v>
      </c>
      <c r="Q217" s="158">
        <f t="shared" si="66"/>
        <v>94.8</v>
      </c>
      <c r="R217" s="158">
        <f t="shared" si="67"/>
        <v>-0.20000000000000284</v>
      </c>
      <c r="S217" s="159">
        <f t="shared" si="68"/>
        <v>99.78947368421053</v>
      </c>
    </row>
    <row r="218" spans="3:19" s="37" customFormat="1" ht="42.75" customHeight="1">
      <c r="C218" s="30" t="s">
        <v>292</v>
      </c>
      <c r="D218" s="30" t="s">
        <v>291</v>
      </c>
      <c r="E218" s="33" t="s">
        <v>74</v>
      </c>
      <c r="F218" s="42" t="s">
        <v>289</v>
      </c>
      <c r="G218" s="142">
        <f>G219</f>
        <v>95</v>
      </c>
      <c r="H218" s="142">
        <f>H219</f>
        <v>94.8</v>
      </c>
      <c r="I218" s="138">
        <f t="shared" si="64"/>
        <v>99.78947368421053</v>
      </c>
      <c r="J218" s="142">
        <f t="shared" si="69"/>
        <v>0</v>
      </c>
      <c r="K218" s="142">
        <f>K219</f>
        <v>0</v>
      </c>
      <c r="L218" s="142">
        <f>L219</f>
        <v>0</v>
      </c>
      <c r="M218" s="142">
        <f>M219</f>
        <v>0</v>
      </c>
      <c r="N218" s="113">
        <f>N219</f>
        <v>0</v>
      </c>
      <c r="O218" s="147"/>
      <c r="P218" s="139">
        <f t="shared" si="65"/>
        <v>95</v>
      </c>
      <c r="Q218" s="158">
        <f t="shared" si="66"/>
        <v>94.8</v>
      </c>
      <c r="R218" s="158">
        <f t="shared" si="67"/>
        <v>-0.20000000000000284</v>
      </c>
      <c r="S218" s="159">
        <f t="shared" si="68"/>
        <v>99.78947368421053</v>
      </c>
    </row>
    <row r="219" spans="3:19" s="37" customFormat="1" ht="42" customHeight="1">
      <c r="C219" s="33"/>
      <c r="D219" s="33"/>
      <c r="E219" s="33"/>
      <c r="F219" s="42" t="s">
        <v>290</v>
      </c>
      <c r="G219" s="142">
        <v>95</v>
      </c>
      <c r="H219" s="142">
        <v>94.8</v>
      </c>
      <c r="I219" s="138">
        <f t="shared" si="64"/>
        <v>99.78947368421053</v>
      </c>
      <c r="J219" s="142">
        <f t="shared" si="69"/>
        <v>0</v>
      </c>
      <c r="K219" s="150"/>
      <c r="L219" s="142"/>
      <c r="M219" s="142"/>
      <c r="N219" s="113"/>
      <c r="O219" s="147"/>
      <c r="P219" s="139">
        <f t="shared" si="65"/>
        <v>95</v>
      </c>
      <c r="Q219" s="158">
        <f t="shared" si="66"/>
        <v>94.8</v>
      </c>
      <c r="R219" s="158">
        <f t="shared" si="67"/>
        <v>-0.20000000000000284</v>
      </c>
      <c r="S219" s="159">
        <f t="shared" si="68"/>
        <v>99.78947368421053</v>
      </c>
    </row>
    <row r="220" spans="3:19" s="46" customFormat="1" ht="27" customHeight="1">
      <c r="C220" s="28"/>
      <c r="D220" s="28"/>
      <c r="E220" s="28"/>
      <c r="F220" s="44" t="s">
        <v>294</v>
      </c>
      <c r="G220" s="139">
        <f>G222+G221+G223+G226+G227</f>
        <v>4289</v>
      </c>
      <c r="H220" s="139">
        <f>H222+H221+H223+H226+H227</f>
        <v>4268.4</v>
      </c>
      <c r="I220" s="138">
        <f t="shared" si="64"/>
        <v>99.5197015621357</v>
      </c>
      <c r="J220" s="139">
        <f>J222+J221+J223+J226+J227</f>
        <v>463.4</v>
      </c>
      <c r="K220" s="139">
        <f>K222+K221+K223+K226+K227</f>
        <v>1.42</v>
      </c>
      <c r="L220" s="139">
        <f>L222+L221+L223+L226+L227</f>
        <v>459</v>
      </c>
      <c r="M220" s="139">
        <f>M222+M221+M223+M226+M227</f>
        <v>404.1</v>
      </c>
      <c r="N220" s="114" t="e">
        <f>N222+N221+N223+#REF!</f>
        <v>#REF!</v>
      </c>
      <c r="O220" s="147">
        <f t="shared" si="59"/>
        <v>99.0504963314631</v>
      </c>
      <c r="P220" s="139">
        <f t="shared" si="65"/>
        <v>4752.4</v>
      </c>
      <c r="Q220" s="158">
        <f t="shared" si="66"/>
        <v>4727.4</v>
      </c>
      <c r="R220" s="158">
        <f t="shared" si="67"/>
        <v>-25</v>
      </c>
      <c r="S220" s="159">
        <f t="shared" si="68"/>
        <v>99.4739500042084</v>
      </c>
    </row>
    <row r="221" spans="1:19" s="6" customFormat="1" ht="24" customHeight="1">
      <c r="A221" s="6">
        <v>1</v>
      </c>
      <c r="B221" s="6">
        <v>48</v>
      </c>
      <c r="C221" s="30" t="s">
        <v>296</v>
      </c>
      <c r="D221" s="30" t="s">
        <v>297</v>
      </c>
      <c r="E221" s="30" t="s">
        <v>105</v>
      </c>
      <c r="F221" s="41" t="s">
        <v>295</v>
      </c>
      <c r="G221" s="138">
        <v>910.2</v>
      </c>
      <c r="H221" s="138">
        <v>907.2</v>
      </c>
      <c r="I221" s="138">
        <f t="shared" si="64"/>
        <v>99.6704021094265</v>
      </c>
      <c r="J221" s="138">
        <f>25.1+40</f>
        <v>65.1</v>
      </c>
      <c r="K221" s="138"/>
      <c r="L221" s="138">
        <f>25.1+40</f>
        <v>65.1</v>
      </c>
      <c r="M221" s="138">
        <v>40</v>
      </c>
      <c r="N221" s="112">
        <v>30</v>
      </c>
      <c r="O221" s="147">
        <f t="shared" si="59"/>
        <v>100</v>
      </c>
      <c r="P221" s="139">
        <f t="shared" si="65"/>
        <v>975.3000000000001</v>
      </c>
      <c r="Q221" s="158">
        <f t="shared" si="66"/>
        <v>972.3000000000001</v>
      </c>
      <c r="R221" s="158">
        <f t="shared" si="67"/>
        <v>-3</v>
      </c>
      <c r="S221" s="159">
        <f t="shared" si="68"/>
        <v>99.69240233774224</v>
      </c>
    </row>
    <row r="222" spans="1:19" s="6" customFormat="1" ht="29.25" customHeight="1">
      <c r="A222" s="6">
        <v>2</v>
      </c>
      <c r="B222" s="6">
        <v>49</v>
      </c>
      <c r="C222" s="30" t="s">
        <v>299</v>
      </c>
      <c r="D222" s="30" t="s">
        <v>300</v>
      </c>
      <c r="E222" s="30" t="s">
        <v>105</v>
      </c>
      <c r="F222" s="31" t="s">
        <v>298</v>
      </c>
      <c r="G222" s="138">
        <v>607.1</v>
      </c>
      <c r="H222" s="138">
        <v>598.4</v>
      </c>
      <c r="I222" s="138">
        <f t="shared" si="64"/>
        <v>98.56695766760006</v>
      </c>
      <c r="J222" s="138">
        <f>1.2+3.5</f>
        <v>4.7</v>
      </c>
      <c r="K222" s="138"/>
      <c r="L222" s="138">
        <v>4</v>
      </c>
      <c r="M222" s="138"/>
      <c r="N222" s="112"/>
      <c r="O222" s="147">
        <f t="shared" si="59"/>
        <v>85.1063829787234</v>
      </c>
      <c r="P222" s="139">
        <f t="shared" si="65"/>
        <v>611.8000000000001</v>
      </c>
      <c r="Q222" s="158">
        <f t="shared" si="66"/>
        <v>602.4</v>
      </c>
      <c r="R222" s="158">
        <f t="shared" si="67"/>
        <v>-9.400000000000091</v>
      </c>
      <c r="S222" s="159">
        <f t="shared" si="68"/>
        <v>98.46355017979731</v>
      </c>
    </row>
    <row r="223" spans="3:19" s="6" customFormat="1" ht="60.75" customHeight="1">
      <c r="C223" s="30" t="s">
        <v>293</v>
      </c>
      <c r="D223" s="30" t="s">
        <v>104</v>
      </c>
      <c r="E223" s="30" t="s">
        <v>106</v>
      </c>
      <c r="F223" s="31" t="s">
        <v>579</v>
      </c>
      <c r="G223" s="138">
        <f aca="true" t="shared" si="72" ref="G223:N223">SUM(G224:G225)</f>
        <v>975.3</v>
      </c>
      <c r="H223" s="138">
        <f t="shared" si="72"/>
        <v>969.9</v>
      </c>
      <c r="I223" s="138">
        <f t="shared" si="64"/>
        <v>99.44632420793602</v>
      </c>
      <c r="J223" s="138">
        <f>SUM(J224:J225)</f>
        <v>65</v>
      </c>
      <c r="K223" s="138">
        <f t="shared" si="72"/>
        <v>0</v>
      </c>
      <c r="L223" s="138">
        <f t="shared" si="72"/>
        <v>64.6</v>
      </c>
      <c r="M223" s="138">
        <f t="shared" si="72"/>
        <v>64.6</v>
      </c>
      <c r="N223" s="112">
        <f t="shared" si="72"/>
        <v>15</v>
      </c>
      <c r="O223" s="147">
        <f t="shared" si="59"/>
        <v>99.38461538461537</v>
      </c>
      <c r="P223" s="139">
        <f t="shared" si="65"/>
        <v>1040.3</v>
      </c>
      <c r="Q223" s="158">
        <f t="shared" si="66"/>
        <v>1034.5</v>
      </c>
      <c r="R223" s="158">
        <f t="shared" si="67"/>
        <v>-5.7999999999999545</v>
      </c>
      <c r="S223" s="159">
        <f t="shared" si="68"/>
        <v>99.44246851869653</v>
      </c>
    </row>
    <row r="224" spans="3:19" s="6" customFormat="1" ht="42" customHeight="1">
      <c r="C224" s="30"/>
      <c r="D224" s="30"/>
      <c r="E224" s="30"/>
      <c r="F224" s="42" t="s">
        <v>580</v>
      </c>
      <c r="G224" s="138">
        <v>975.3</v>
      </c>
      <c r="H224" s="138">
        <v>969.9</v>
      </c>
      <c r="I224" s="138">
        <f t="shared" si="64"/>
        <v>99.44632420793602</v>
      </c>
      <c r="J224" s="138">
        <v>20</v>
      </c>
      <c r="K224" s="138"/>
      <c r="L224" s="138">
        <v>19.6</v>
      </c>
      <c r="M224" s="138">
        <v>19.6</v>
      </c>
      <c r="N224" s="112"/>
      <c r="O224" s="147">
        <f t="shared" si="59"/>
        <v>98.00000000000001</v>
      </c>
      <c r="P224" s="139">
        <f t="shared" si="65"/>
        <v>995.3</v>
      </c>
      <c r="Q224" s="158">
        <f t="shared" si="66"/>
        <v>989.5</v>
      </c>
      <c r="R224" s="158">
        <f t="shared" si="67"/>
        <v>-5.7999999999999545</v>
      </c>
      <c r="S224" s="159">
        <f t="shared" si="68"/>
        <v>99.4172611272983</v>
      </c>
    </row>
    <row r="225" spans="3:19" s="6" customFormat="1" ht="42" customHeight="1">
      <c r="C225" s="30"/>
      <c r="D225" s="30"/>
      <c r="E225" s="30"/>
      <c r="F225" s="42" t="s">
        <v>573</v>
      </c>
      <c r="G225" s="138"/>
      <c r="H225" s="138"/>
      <c r="I225" s="161" t="e">
        <f t="shared" si="64"/>
        <v>#DIV/0!</v>
      </c>
      <c r="J225" s="138">
        <v>45</v>
      </c>
      <c r="K225" s="138"/>
      <c r="L225" s="138">
        <v>45</v>
      </c>
      <c r="M225" s="138">
        <v>45</v>
      </c>
      <c r="N225" s="112">
        <v>15</v>
      </c>
      <c r="O225" s="147">
        <f t="shared" si="59"/>
        <v>100</v>
      </c>
      <c r="P225" s="139">
        <f t="shared" si="65"/>
        <v>45</v>
      </c>
      <c r="Q225" s="158">
        <f t="shared" si="66"/>
        <v>45</v>
      </c>
      <c r="R225" s="158">
        <f t="shared" si="67"/>
        <v>0</v>
      </c>
      <c r="S225" s="159">
        <f t="shared" si="68"/>
        <v>100</v>
      </c>
    </row>
    <row r="226" spans="3:19" s="37" customFormat="1" ht="50.25" customHeight="1">
      <c r="C226" s="4" t="s">
        <v>458</v>
      </c>
      <c r="D226" s="4" t="s">
        <v>459</v>
      </c>
      <c r="E226" s="4" t="s">
        <v>107</v>
      </c>
      <c r="F226" s="35" t="s">
        <v>460</v>
      </c>
      <c r="G226" s="142">
        <v>758.9</v>
      </c>
      <c r="H226" s="142">
        <v>757.7</v>
      </c>
      <c r="I226" s="138">
        <f t="shared" si="64"/>
        <v>99.84187640005273</v>
      </c>
      <c r="J226" s="138">
        <f>K226+N226</f>
        <v>0</v>
      </c>
      <c r="K226" s="142"/>
      <c r="L226" s="142"/>
      <c r="M226" s="142"/>
      <c r="N226" s="113"/>
      <c r="O226" s="147"/>
      <c r="P226" s="139">
        <f t="shared" si="65"/>
        <v>758.9</v>
      </c>
      <c r="Q226" s="158">
        <f t="shared" si="66"/>
        <v>757.7</v>
      </c>
      <c r="R226" s="158">
        <f t="shared" si="67"/>
        <v>-1.1999999999999318</v>
      </c>
      <c r="S226" s="159">
        <f t="shared" si="68"/>
        <v>99.84187640005273</v>
      </c>
    </row>
    <row r="227" spans="3:19" s="37" customFormat="1" ht="32.25" customHeight="1">
      <c r="C227" s="4" t="s">
        <v>462</v>
      </c>
      <c r="D227" s="4" t="s">
        <v>463</v>
      </c>
      <c r="E227" s="4" t="s">
        <v>107</v>
      </c>
      <c r="F227" s="35" t="s">
        <v>461</v>
      </c>
      <c r="G227" s="142">
        <f>SUM(G228:G229)</f>
        <v>1037.5</v>
      </c>
      <c r="H227" s="142">
        <f aca="true" t="shared" si="73" ref="H227:N227">SUM(H228:H229)</f>
        <v>1035.2</v>
      </c>
      <c r="I227" s="138">
        <f t="shared" si="64"/>
        <v>99.77831325301206</v>
      </c>
      <c r="J227" s="142">
        <f t="shared" si="73"/>
        <v>328.59999999999997</v>
      </c>
      <c r="K227" s="142">
        <f t="shared" si="73"/>
        <v>1.42</v>
      </c>
      <c r="L227" s="142">
        <f t="shared" si="73"/>
        <v>325.3</v>
      </c>
      <c r="M227" s="142">
        <f t="shared" si="73"/>
        <v>299.5</v>
      </c>
      <c r="N227" s="36">
        <f t="shared" si="73"/>
        <v>0</v>
      </c>
      <c r="O227" s="147">
        <f t="shared" si="59"/>
        <v>98.99573950091298</v>
      </c>
      <c r="P227" s="139">
        <f t="shared" si="65"/>
        <v>1366.1</v>
      </c>
      <c r="Q227" s="158">
        <f t="shared" si="66"/>
        <v>1360.5</v>
      </c>
      <c r="R227" s="158">
        <f t="shared" si="67"/>
        <v>-5.599999999999909</v>
      </c>
      <c r="S227" s="159">
        <f t="shared" si="68"/>
        <v>99.59007393309422</v>
      </c>
    </row>
    <row r="228" spans="3:19" s="37" customFormat="1" ht="65.25" customHeight="1">
      <c r="C228" s="34"/>
      <c r="D228" s="34"/>
      <c r="E228" s="34"/>
      <c r="F228" s="42" t="s">
        <v>303</v>
      </c>
      <c r="G228" s="142">
        <v>1000.5</v>
      </c>
      <c r="H228" s="142">
        <v>998.3</v>
      </c>
      <c r="I228" s="138">
        <f t="shared" si="64"/>
        <v>99.78010994502749</v>
      </c>
      <c r="J228" s="138">
        <f>27.9+300.7</f>
        <v>328.59999999999997</v>
      </c>
      <c r="K228" s="146">
        <v>1.42</v>
      </c>
      <c r="L228" s="142">
        <f>25.8+299.5</f>
        <v>325.3</v>
      </c>
      <c r="M228" s="146">
        <v>299.5</v>
      </c>
      <c r="N228" s="113"/>
      <c r="O228" s="147">
        <f t="shared" si="59"/>
        <v>98.99573950091298</v>
      </c>
      <c r="P228" s="139">
        <f t="shared" si="65"/>
        <v>1329.1</v>
      </c>
      <c r="Q228" s="158">
        <f t="shared" si="66"/>
        <v>1323.6</v>
      </c>
      <c r="R228" s="158">
        <f t="shared" si="67"/>
        <v>-5.5</v>
      </c>
      <c r="S228" s="159">
        <f t="shared" si="68"/>
        <v>99.58618614099767</v>
      </c>
    </row>
    <row r="229" spans="3:19" s="37" customFormat="1" ht="45" customHeight="1">
      <c r="C229" s="34"/>
      <c r="D229" s="34"/>
      <c r="E229" s="34"/>
      <c r="F229" s="42" t="s">
        <v>573</v>
      </c>
      <c r="G229" s="142">
        <v>37</v>
      </c>
      <c r="H229" s="142">
        <v>36.9</v>
      </c>
      <c r="I229" s="138">
        <f t="shared" si="64"/>
        <v>99.72972972972973</v>
      </c>
      <c r="J229" s="138">
        <f aca="true" t="shared" si="74" ref="J229:J237">K229+N229</f>
        <v>0</v>
      </c>
      <c r="K229" s="146"/>
      <c r="L229" s="146"/>
      <c r="M229" s="146"/>
      <c r="N229" s="113"/>
      <c r="O229" s="147"/>
      <c r="P229" s="139">
        <f t="shared" si="65"/>
        <v>37</v>
      </c>
      <c r="Q229" s="158">
        <f t="shared" si="66"/>
        <v>36.9</v>
      </c>
      <c r="R229" s="158">
        <f t="shared" si="67"/>
        <v>-0.10000000000000142</v>
      </c>
      <c r="S229" s="159">
        <f t="shared" si="68"/>
        <v>99.72972972972973</v>
      </c>
    </row>
    <row r="230" spans="3:19" s="46" customFormat="1" ht="36.75" customHeight="1">
      <c r="C230" s="28"/>
      <c r="D230" s="28"/>
      <c r="E230" s="28"/>
      <c r="F230" s="29" t="s">
        <v>17</v>
      </c>
      <c r="G230" s="139">
        <f>G231+G235+G238+G241</f>
        <v>3411.7999999999997</v>
      </c>
      <c r="H230" s="139">
        <f>H231+H235+H238+H241</f>
        <v>3401.7</v>
      </c>
      <c r="I230" s="138">
        <f t="shared" si="64"/>
        <v>99.70396857963539</v>
      </c>
      <c r="J230" s="139">
        <f>J231+J235+J238+J241</f>
        <v>7</v>
      </c>
      <c r="K230" s="139">
        <f>K231+K235+K238+K241</f>
        <v>0</v>
      </c>
      <c r="L230" s="139">
        <f>L231+L235+L238+L241</f>
        <v>7</v>
      </c>
      <c r="M230" s="139">
        <f>M231+M235+M238+M241</f>
        <v>7</v>
      </c>
      <c r="N230" s="114" t="e">
        <f>#REF!+#REF!+#REF!</f>
        <v>#REF!</v>
      </c>
      <c r="O230" s="147">
        <f t="shared" si="59"/>
        <v>100</v>
      </c>
      <c r="P230" s="139">
        <f t="shared" si="65"/>
        <v>3418.7999999999997</v>
      </c>
      <c r="Q230" s="158">
        <f t="shared" si="66"/>
        <v>3408.7</v>
      </c>
      <c r="R230" s="158">
        <f t="shared" si="67"/>
        <v>-10.099999999999909</v>
      </c>
      <c r="S230" s="159">
        <f t="shared" si="68"/>
        <v>99.70457470457471</v>
      </c>
    </row>
    <row r="231" spans="3:19" s="37" customFormat="1" ht="42" customHeight="1">
      <c r="C231" s="30" t="s">
        <v>305</v>
      </c>
      <c r="D231" s="30" t="s">
        <v>108</v>
      </c>
      <c r="E231" s="30" t="s">
        <v>109</v>
      </c>
      <c r="F231" s="42" t="s">
        <v>304</v>
      </c>
      <c r="G231" s="142">
        <f>SUM(G232:G234)</f>
        <v>283.9</v>
      </c>
      <c r="H231" s="142">
        <f>SUM(H232:H234)</f>
        <v>283.3</v>
      </c>
      <c r="I231" s="138">
        <f t="shared" si="64"/>
        <v>99.78865797816134</v>
      </c>
      <c r="J231" s="142">
        <f>K231+N231</f>
        <v>7</v>
      </c>
      <c r="K231" s="142">
        <f>SUM(K232:K234)</f>
        <v>0</v>
      </c>
      <c r="L231" s="142">
        <f>SUM(L232:L234)</f>
        <v>7</v>
      </c>
      <c r="M231" s="142">
        <f>SUM(M232:M234)</f>
        <v>7</v>
      </c>
      <c r="N231" s="113">
        <f>SUM(N232:N233)</f>
        <v>7</v>
      </c>
      <c r="O231" s="147">
        <f t="shared" si="59"/>
        <v>100</v>
      </c>
      <c r="P231" s="139">
        <f t="shared" si="65"/>
        <v>290.9</v>
      </c>
      <c r="Q231" s="158">
        <f t="shared" si="66"/>
        <v>290.3</v>
      </c>
      <c r="R231" s="158">
        <f t="shared" si="67"/>
        <v>-0.5999999999999659</v>
      </c>
      <c r="S231" s="159">
        <f t="shared" si="68"/>
        <v>99.7937435544861</v>
      </c>
    </row>
    <row r="232" spans="3:19" s="37" customFormat="1" ht="60" customHeight="1">
      <c r="C232" s="30"/>
      <c r="D232" s="30"/>
      <c r="E232" s="30"/>
      <c r="F232" s="42" t="s">
        <v>9</v>
      </c>
      <c r="G232" s="142">
        <v>262.9</v>
      </c>
      <c r="H232" s="142">
        <v>262.3</v>
      </c>
      <c r="I232" s="138">
        <f t="shared" si="64"/>
        <v>99.77177634081401</v>
      </c>
      <c r="J232" s="142">
        <f t="shared" si="74"/>
        <v>0</v>
      </c>
      <c r="K232" s="150"/>
      <c r="L232" s="142"/>
      <c r="M232" s="142"/>
      <c r="N232" s="113"/>
      <c r="O232" s="147"/>
      <c r="P232" s="139">
        <f t="shared" si="65"/>
        <v>262.9</v>
      </c>
      <c r="Q232" s="158">
        <f t="shared" si="66"/>
        <v>262.3</v>
      </c>
      <c r="R232" s="158">
        <f t="shared" si="67"/>
        <v>-0.5999999999999659</v>
      </c>
      <c r="S232" s="159">
        <f t="shared" si="68"/>
        <v>99.77177634081401</v>
      </c>
    </row>
    <row r="233" spans="3:19" s="37" customFormat="1" ht="47.25" customHeight="1">
      <c r="C233" s="30"/>
      <c r="D233" s="30"/>
      <c r="E233" s="30"/>
      <c r="F233" s="42" t="s">
        <v>528</v>
      </c>
      <c r="G233" s="142">
        <v>21</v>
      </c>
      <c r="H233" s="142">
        <v>21</v>
      </c>
      <c r="I233" s="138">
        <f t="shared" si="64"/>
        <v>100</v>
      </c>
      <c r="J233" s="142">
        <v>7</v>
      </c>
      <c r="K233" s="150"/>
      <c r="L233" s="142">
        <v>7</v>
      </c>
      <c r="M233" s="142">
        <v>7</v>
      </c>
      <c r="N233" s="113">
        <v>7</v>
      </c>
      <c r="O233" s="147">
        <f t="shared" si="59"/>
        <v>100</v>
      </c>
      <c r="P233" s="139">
        <f t="shared" si="65"/>
        <v>28</v>
      </c>
      <c r="Q233" s="158">
        <f t="shared" si="66"/>
        <v>28</v>
      </c>
      <c r="R233" s="158">
        <f t="shared" si="67"/>
        <v>0</v>
      </c>
      <c r="S233" s="159">
        <f t="shared" si="68"/>
        <v>100</v>
      </c>
    </row>
    <row r="234" spans="3:19" s="37" customFormat="1" ht="42.75" customHeight="1" hidden="1">
      <c r="C234" s="30"/>
      <c r="D234" s="30"/>
      <c r="E234" s="30"/>
      <c r="F234" s="91" t="s">
        <v>8</v>
      </c>
      <c r="G234" s="142"/>
      <c r="H234" s="142"/>
      <c r="I234" s="138" t="e">
        <f t="shared" si="64"/>
        <v>#DIV/0!</v>
      </c>
      <c r="J234" s="142">
        <f t="shared" si="74"/>
        <v>0</v>
      </c>
      <c r="K234" s="150"/>
      <c r="L234" s="142"/>
      <c r="M234" s="142"/>
      <c r="N234" s="113"/>
      <c r="O234" s="147" t="e">
        <f t="shared" si="59"/>
        <v>#DIV/0!</v>
      </c>
      <c r="P234" s="139">
        <f t="shared" si="65"/>
        <v>0</v>
      </c>
      <c r="Q234" s="158">
        <f t="shared" si="66"/>
        <v>0</v>
      </c>
      <c r="R234" s="158">
        <f t="shared" si="67"/>
        <v>0</v>
      </c>
      <c r="S234" s="159" t="e">
        <f t="shared" si="68"/>
        <v>#DIV/0!</v>
      </c>
    </row>
    <row r="235" spans="3:19" s="37" customFormat="1" ht="49.5" customHeight="1">
      <c r="C235" s="30" t="s">
        <v>307</v>
      </c>
      <c r="D235" s="30" t="s">
        <v>110</v>
      </c>
      <c r="E235" s="30" t="s">
        <v>109</v>
      </c>
      <c r="F235" s="42" t="s">
        <v>306</v>
      </c>
      <c r="G235" s="142">
        <f>SUM(G236:G237)</f>
        <v>209.5</v>
      </c>
      <c r="H235" s="142">
        <f>SUM(H236:H237)</f>
        <v>209.4</v>
      </c>
      <c r="I235" s="138">
        <f t="shared" si="64"/>
        <v>99.95226730310263</v>
      </c>
      <c r="J235" s="142">
        <f t="shared" si="74"/>
        <v>0</v>
      </c>
      <c r="K235" s="142">
        <f>SUM(K236:K237)</f>
        <v>0</v>
      </c>
      <c r="L235" s="142">
        <f>SUM(L236:L237)</f>
        <v>0</v>
      </c>
      <c r="M235" s="142">
        <f>SUM(M236:M237)</f>
        <v>0</v>
      </c>
      <c r="N235" s="113">
        <f>SUM(N236:N237)</f>
        <v>0</v>
      </c>
      <c r="O235" s="147"/>
      <c r="P235" s="139">
        <f t="shared" si="65"/>
        <v>209.5</v>
      </c>
      <c r="Q235" s="158">
        <f t="shared" si="66"/>
        <v>209.4</v>
      </c>
      <c r="R235" s="158">
        <f t="shared" si="67"/>
        <v>-0.09999999999999432</v>
      </c>
      <c r="S235" s="159">
        <f t="shared" si="68"/>
        <v>99.95226730310263</v>
      </c>
    </row>
    <row r="236" spans="3:19" s="37" customFormat="1" ht="69.75" customHeight="1">
      <c r="C236" s="33"/>
      <c r="D236" s="33"/>
      <c r="E236" s="33"/>
      <c r="F236" s="42" t="s">
        <v>151</v>
      </c>
      <c r="G236" s="142">
        <f>191.5</f>
        <v>191.5</v>
      </c>
      <c r="H236" s="142">
        <v>191.4</v>
      </c>
      <c r="I236" s="138">
        <f t="shared" si="64"/>
        <v>99.94778067885117</v>
      </c>
      <c r="J236" s="142">
        <f t="shared" si="74"/>
        <v>0</v>
      </c>
      <c r="K236" s="150"/>
      <c r="L236" s="142"/>
      <c r="M236" s="142"/>
      <c r="N236" s="113"/>
      <c r="O236" s="147"/>
      <c r="P236" s="139">
        <f t="shared" si="65"/>
        <v>191.5</v>
      </c>
      <c r="Q236" s="158">
        <f t="shared" si="66"/>
        <v>191.4</v>
      </c>
      <c r="R236" s="158">
        <f t="shared" si="67"/>
        <v>-0.09999999999999432</v>
      </c>
      <c r="S236" s="159">
        <f t="shared" si="68"/>
        <v>99.94778067885117</v>
      </c>
    </row>
    <row r="237" spans="3:19" s="37" customFormat="1" ht="45" customHeight="1">
      <c r="C237" s="33"/>
      <c r="D237" s="33"/>
      <c r="E237" s="33"/>
      <c r="F237" s="42" t="s">
        <v>528</v>
      </c>
      <c r="G237" s="142">
        <v>18</v>
      </c>
      <c r="H237" s="142">
        <v>18</v>
      </c>
      <c r="I237" s="138">
        <f t="shared" si="64"/>
        <v>100</v>
      </c>
      <c r="J237" s="142">
        <f t="shared" si="74"/>
        <v>0</v>
      </c>
      <c r="K237" s="150"/>
      <c r="L237" s="142"/>
      <c r="M237" s="142"/>
      <c r="N237" s="113"/>
      <c r="O237" s="147"/>
      <c r="P237" s="139">
        <f t="shared" si="65"/>
        <v>18</v>
      </c>
      <c r="Q237" s="158">
        <f t="shared" si="66"/>
        <v>18</v>
      </c>
      <c r="R237" s="158">
        <f t="shared" si="67"/>
        <v>0</v>
      </c>
      <c r="S237" s="159">
        <f t="shared" si="68"/>
        <v>100</v>
      </c>
    </row>
    <row r="238" spans="3:19" s="37" customFormat="1" ht="45.75" customHeight="1">
      <c r="C238" s="33" t="s">
        <v>309</v>
      </c>
      <c r="D238" s="33" t="s">
        <v>123</v>
      </c>
      <c r="E238" s="33" t="s">
        <v>109</v>
      </c>
      <c r="F238" s="35" t="s">
        <v>308</v>
      </c>
      <c r="G238" s="142">
        <f>SUM(G239:G240)</f>
        <v>2892.7999999999997</v>
      </c>
      <c r="H238" s="142">
        <f>SUM(H239:H240)</f>
        <v>2884</v>
      </c>
      <c r="I238" s="138">
        <f t="shared" si="64"/>
        <v>99.695796460177</v>
      </c>
      <c r="J238" s="138">
        <f aca="true" t="shared" si="75" ref="J238:J243">K238+N238</f>
        <v>0</v>
      </c>
      <c r="K238" s="142"/>
      <c r="L238" s="142"/>
      <c r="M238" s="142"/>
      <c r="N238" s="113"/>
      <c r="O238" s="147"/>
      <c r="P238" s="139">
        <f t="shared" si="65"/>
        <v>2892.7999999999997</v>
      </c>
      <c r="Q238" s="158">
        <f t="shared" si="66"/>
        <v>2884</v>
      </c>
      <c r="R238" s="158">
        <f t="shared" si="67"/>
        <v>-8.799999999999727</v>
      </c>
      <c r="S238" s="159">
        <f t="shared" si="68"/>
        <v>99.695796460177</v>
      </c>
    </row>
    <row r="239" spans="3:19" s="37" customFormat="1" ht="45.75" customHeight="1">
      <c r="C239" s="33"/>
      <c r="D239" s="33"/>
      <c r="E239" s="33"/>
      <c r="F239" s="35" t="s">
        <v>144</v>
      </c>
      <c r="G239" s="142">
        <v>2856.6</v>
      </c>
      <c r="H239" s="142">
        <v>2848</v>
      </c>
      <c r="I239" s="138">
        <f t="shared" si="64"/>
        <v>99.69894279913184</v>
      </c>
      <c r="J239" s="138">
        <f t="shared" si="75"/>
        <v>0</v>
      </c>
      <c r="K239" s="142"/>
      <c r="L239" s="142"/>
      <c r="M239" s="142"/>
      <c r="N239" s="113"/>
      <c r="O239" s="147"/>
      <c r="P239" s="139">
        <f t="shared" si="65"/>
        <v>2856.6</v>
      </c>
      <c r="Q239" s="158">
        <f t="shared" si="66"/>
        <v>2848</v>
      </c>
      <c r="R239" s="158">
        <f t="shared" si="67"/>
        <v>-8.599999999999909</v>
      </c>
      <c r="S239" s="159">
        <f t="shared" si="68"/>
        <v>99.69894279913184</v>
      </c>
    </row>
    <row r="240" spans="3:19" s="37" customFormat="1" ht="45.75" customHeight="1">
      <c r="C240" s="33"/>
      <c r="D240" s="33"/>
      <c r="E240" s="33"/>
      <c r="F240" s="35" t="s">
        <v>528</v>
      </c>
      <c r="G240" s="142">
        <v>36.2</v>
      </c>
      <c r="H240" s="142">
        <v>36</v>
      </c>
      <c r="I240" s="138">
        <f t="shared" si="64"/>
        <v>99.44751381215468</v>
      </c>
      <c r="J240" s="138">
        <f t="shared" si="75"/>
        <v>0</v>
      </c>
      <c r="K240" s="142"/>
      <c r="L240" s="142"/>
      <c r="M240" s="142"/>
      <c r="N240" s="113"/>
      <c r="O240" s="147"/>
      <c r="P240" s="139">
        <f t="shared" si="65"/>
        <v>36.2</v>
      </c>
      <c r="Q240" s="158">
        <f t="shared" si="66"/>
        <v>36</v>
      </c>
      <c r="R240" s="158">
        <f t="shared" si="67"/>
        <v>-0.20000000000000284</v>
      </c>
      <c r="S240" s="159">
        <f t="shared" si="68"/>
        <v>99.44751381215468</v>
      </c>
    </row>
    <row r="241" spans="3:19" s="37" customFormat="1" ht="75" customHeight="1">
      <c r="C241" s="33" t="s">
        <v>311</v>
      </c>
      <c r="D241" s="33" t="s">
        <v>117</v>
      </c>
      <c r="E241" s="33" t="s">
        <v>109</v>
      </c>
      <c r="F241" s="42" t="s">
        <v>310</v>
      </c>
      <c r="G241" s="142">
        <f>G242+G243</f>
        <v>25.6</v>
      </c>
      <c r="H241" s="142">
        <f>H242+H243</f>
        <v>25</v>
      </c>
      <c r="I241" s="138">
        <f t="shared" si="64"/>
        <v>97.65625</v>
      </c>
      <c r="J241" s="142">
        <f t="shared" si="75"/>
        <v>0</v>
      </c>
      <c r="K241" s="142">
        <f>K242+K243</f>
        <v>0</v>
      </c>
      <c r="L241" s="142">
        <f>L242+L243</f>
        <v>0</v>
      </c>
      <c r="M241" s="142">
        <f>M242+M243</f>
        <v>0</v>
      </c>
      <c r="N241" s="113">
        <f>N242+N243</f>
        <v>0</v>
      </c>
      <c r="O241" s="147"/>
      <c r="P241" s="139">
        <f t="shared" si="65"/>
        <v>25.6</v>
      </c>
      <c r="Q241" s="158">
        <f t="shared" si="66"/>
        <v>25</v>
      </c>
      <c r="R241" s="158">
        <f t="shared" si="67"/>
        <v>-0.6000000000000014</v>
      </c>
      <c r="S241" s="159">
        <f t="shared" si="68"/>
        <v>97.65625</v>
      </c>
    </row>
    <row r="242" spans="3:19" s="37" customFormat="1" ht="58.5" customHeight="1">
      <c r="C242" s="33"/>
      <c r="D242" s="33"/>
      <c r="E242" s="33"/>
      <c r="F242" s="42" t="s">
        <v>155</v>
      </c>
      <c r="G242" s="142">
        <v>25.6</v>
      </c>
      <c r="H242" s="142">
        <v>25</v>
      </c>
      <c r="I242" s="138">
        <f t="shared" si="64"/>
        <v>97.65625</v>
      </c>
      <c r="J242" s="142">
        <f t="shared" si="75"/>
        <v>0</v>
      </c>
      <c r="K242" s="150"/>
      <c r="L242" s="142"/>
      <c r="M242" s="142"/>
      <c r="N242" s="113"/>
      <c r="O242" s="147"/>
      <c r="P242" s="139">
        <f t="shared" si="65"/>
        <v>25.6</v>
      </c>
      <c r="Q242" s="158">
        <f t="shared" si="66"/>
        <v>25</v>
      </c>
      <c r="R242" s="158">
        <f t="shared" si="67"/>
        <v>-0.6000000000000014</v>
      </c>
      <c r="S242" s="159">
        <f t="shared" si="68"/>
        <v>97.65625</v>
      </c>
    </row>
    <row r="243" spans="3:19" s="37" customFormat="1" ht="38.25" customHeight="1" hidden="1">
      <c r="C243" s="33"/>
      <c r="D243" s="33"/>
      <c r="E243" s="33"/>
      <c r="F243" s="42" t="s">
        <v>120</v>
      </c>
      <c r="G243" s="142"/>
      <c r="H243" s="142"/>
      <c r="I243" s="161" t="e">
        <f t="shared" si="64"/>
        <v>#DIV/0!</v>
      </c>
      <c r="J243" s="142">
        <f t="shared" si="75"/>
        <v>0</v>
      </c>
      <c r="K243" s="150"/>
      <c r="L243" s="142"/>
      <c r="M243" s="142"/>
      <c r="N243" s="113"/>
      <c r="O243" s="147"/>
      <c r="P243" s="139">
        <f t="shared" si="65"/>
        <v>0</v>
      </c>
      <c r="Q243" s="158">
        <f t="shared" si="66"/>
        <v>0</v>
      </c>
      <c r="R243" s="158">
        <f t="shared" si="67"/>
        <v>0</v>
      </c>
      <c r="S243" s="159" t="e">
        <f t="shared" si="68"/>
        <v>#DIV/0!</v>
      </c>
    </row>
    <row r="244" spans="3:19" s="37" customFormat="1" ht="38.25" customHeight="1">
      <c r="C244" s="4"/>
      <c r="D244" s="4"/>
      <c r="E244" s="4"/>
      <c r="F244" s="29" t="s">
        <v>379</v>
      </c>
      <c r="G244" s="142"/>
      <c r="H244" s="142"/>
      <c r="I244" s="161"/>
      <c r="J244" s="142">
        <f>J245</f>
        <v>18</v>
      </c>
      <c r="K244" s="142">
        <f>K245</f>
        <v>0</v>
      </c>
      <c r="L244" s="142">
        <f>L245</f>
        <v>17.2</v>
      </c>
      <c r="M244" s="142">
        <f>M245</f>
        <v>0</v>
      </c>
      <c r="N244" s="113"/>
      <c r="O244" s="147">
        <f t="shared" si="59"/>
        <v>95.55555555555554</v>
      </c>
      <c r="P244" s="139">
        <f t="shared" si="65"/>
        <v>18</v>
      </c>
      <c r="Q244" s="158"/>
      <c r="R244" s="158"/>
      <c r="S244" s="159"/>
    </row>
    <row r="245" spans="3:19" s="37" customFormat="1" ht="131.25">
      <c r="C245" s="34" t="s">
        <v>529</v>
      </c>
      <c r="D245" s="34" t="s">
        <v>437</v>
      </c>
      <c r="E245" s="34" t="s">
        <v>62</v>
      </c>
      <c r="F245" s="35" t="s">
        <v>438</v>
      </c>
      <c r="G245" s="142"/>
      <c r="H245" s="142"/>
      <c r="I245" s="161"/>
      <c r="J245" s="142">
        <v>18</v>
      </c>
      <c r="K245" s="150"/>
      <c r="L245" s="142">
        <v>17.2</v>
      </c>
      <c r="M245" s="142"/>
      <c r="N245" s="113"/>
      <c r="O245" s="147">
        <f t="shared" si="59"/>
        <v>95.55555555555554</v>
      </c>
      <c r="P245" s="139"/>
      <c r="Q245" s="158"/>
      <c r="R245" s="158"/>
      <c r="S245" s="159"/>
    </row>
    <row r="246" spans="3:19" s="95" customFormat="1" ht="27.75" customHeight="1">
      <c r="C246" s="96"/>
      <c r="D246" s="96"/>
      <c r="E246" s="96"/>
      <c r="F246" s="98" t="s">
        <v>10</v>
      </c>
      <c r="G246" s="144">
        <f>G211+G214+G217+G220+G230</f>
        <v>14551.599999999999</v>
      </c>
      <c r="H246" s="144">
        <f>H211+H214+H217+H220+H230</f>
        <v>14496</v>
      </c>
      <c r="I246" s="138">
        <f t="shared" si="64"/>
        <v>99.61791143241982</v>
      </c>
      <c r="J246" s="144">
        <f>J211+J214+J217+J220+J230+J244</f>
        <v>1094.1999999999998</v>
      </c>
      <c r="K246" s="144">
        <f>K211+K214+K217+K220+K230+K244</f>
        <v>301.39000000000004</v>
      </c>
      <c r="L246" s="144">
        <f>L211+L214+L217+L220+L230+L244</f>
        <v>1079.8999999999999</v>
      </c>
      <c r="M246" s="144">
        <f>M211+M214+M217+M220+M230+M244</f>
        <v>704.6</v>
      </c>
      <c r="N246" s="117" t="e">
        <f>N211+N214+N217+N220+N230</f>
        <v>#REF!</v>
      </c>
      <c r="O246" s="147">
        <f t="shared" si="59"/>
        <v>98.69310912081886</v>
      </c>
      <c r="P246" s="139">
        <f t="shared" si="65"/>
        <v>15645.8</v>
      </c>
      <c r="Q246" s="158">
        <f t="shared" si="66"/>
        <v>15575.9</v>
      </c>
      <c r="R246" s="158">
        <f t="shared" si="67"/>
        <v>-69.89999999999964</v>
      </c>
      <c r="S246" s="159">
        <f t="shared" si="68"/>
        <v>99.5532347339222</v>
      </c>
    </row>
    <row r="247" spans="3:19" s="6" customFormat="1" ht="70.5" customHeight="1">
      <c r="C247" s="28" t="s">
        <v>467</v>
      </c>
      <c r="D247" s="30"/>
      <c r="E247" s="30"/>
      <c r="F247" s="29" t="s">
        <v>145</v>
      </c>
      <c r="G247" s="138"/>
      <c r="H247" s="138"/>
      <c r="I247" s="138"/>
      <c r="J247" s="142"/>
      <c r="K247" s="138"/>
      <c r="L247" s="138"/>
      <c r="M247" s="138"/>
      <c r="N247" s="112"/>
      <c r="O247" s="147"/>
      <c r="P247" s="139"/>
      <c r="Q247" s="158"/>
      <c r="R247" s="158"/>
      <c r="S247" s="159"/>
    </row>
    <row r="248" spans="3:19" s="6" customFormat="1" ht="75" customHeight="1">
      <c r="C248" s="85" t="s">
        <v>466</v>
      </c>
      <c r="D248" s="30"/>
      <c r="E248" s="30"/>
      <c r="F248" s="29" t="s">
        <v>146</v>
      </c>
      <c r="G248" s="138"/>
      <c r="H248" s="138"/>
      <c r="I248" s="138"/>
      <c r="J248" s="142"/>
      <c r="K248" s="138"/>
      <c r="L248" s="138"/>
      <c r="M248" s="138"/>
      <c r="N248" s="112"/>
      <c r="O248" s="147"/>
      <c r="P248" s="139"/>
      <c r="Q248" s="158"/>
      <c r="R248" s="158"/>
      <c r="S248" s="159"/>
    </row>
    <row r="249" spans="3:19" s="46" customFormat="1" ht="35.25" customHeight="1">
      <c r="C249" s="28"/>
      <c r="D249" s="28"/>
      <c r="E249" s="28"/>
      <c r="F249" s="29" t="s">
        <v>351</v>
      </c>
      <c r="G249" s="139">
        <f>G250</f>
        <v>5241.7</v>
      </c>
      <c r="H249" s="139">
        <f aca="true" t="shared" si="76" ref="H249:N249">H250</f>
        <v>5241.5</v>
      </c>
      <c r="I249" s="138">
        <f t="shared" si="64"/>
        <v>99.9961844439781</v>
      </c>
      <c r="J249" s="139">
        <f>K249+N249</f>
        <v>0</v>
      </c>
      <c r="K249" s="139">
        <f t="shared" si="76"/>
        <v>0</v>
      </c>
      <c r="L249" s="139">
        <f t="shared" si="76"/>
        <v>0</v>
      </c>
      <c r="M249" s="139">
        <f t="shared" si="76"/>
        <v>0</v>
      </c>
      <c r="N249" s="114">
        <f t="shared" si="76"/>
        <v>0</v>
      </c>
      <c r="O249" s="147"/>
      <c r="P249" s="139">
        <f t="shared" si="65"/>
        <v>5241.7</v>
      </c>
      <c r="Q249" s="158">
        <f t="shared" si="66"/>
        <v>5241.5</v>
      </c>
      <c r="R249" s="158">
        <f t="shared" si="67"/>
        <v>-0.1999999999998181</v>
      </c>
      <c r="S249" s="159">
        <f t="shared" si="68"/>
        <v>99.9961844439781</v>
      </c>
    </row>
    <row r="250" spans="1:19" s="6" customFormat="1" ht="58.5" customHeight="1">
      <c r="A250" s="6">
        <v>5</v>
      </c>
      <c r="B250" s="6">
        <v>36</v>
      </c>
      <c r="C250" s="30" t="s">
        <v>465</v>
      </c>
      <c r="D250" s="30" t="s">
        <v>64</v>
      </c>
      <c r="E250" s="30" t="s">
        <v>60</v>
      </c>
      <c r="F250" s="31" t="s">
        <v>175</v>
      </c>
      <c r="G250" s="138">
        <f>G251</f>
        <v>5241.7</v>
      </c>
      <c r="H250" s="138">
        <f>H251</f>
        <v>5241.5</v>
      </c>
      <c r="I250" s="138">
        <f t="shared" si="64"/>
        <v>99.9961844439781</v>
      </c>
      <c r="J250" s="138">
        <f>K250+N250</f>
        <v>0</v>
      </c>
      <c r="K250" s="138">
        <f>K251</f>
        <v>0</v>
      </c>
      <c r="L250" s="138">
        <f>L251</f>
        <v>0</v>
      </c>
      <c r="M250" s="138">
        <f>M251</f>
        <v>0</v>
      </c>
      <c r="N250" s="112">
        <f>N251</f>
        <v>0</v>
      </c>
      <c r="O250" s="147"/>
      <c r="P250" s="139">
        <f t="shared" si="65"/>
        <v>5241.7</v>
      </c>
      <c r="Q250" s="158">
        <f t="shared" si="66"/>
        <v>5241.5</v>
      </c>
      <c r="R250" s="158">
        <f t="shared" si="67"/>
        <v>-0.1999999999998181</v>
      </c>
      <c r="S250" s="159">
        <f t="shared" si="68"/>
        <v>99.9961844439781</v>
      </c>
    </row>
    <row r="251" spans="3:19" s="37" customFormat="1" ht="39" customHeight="1">
      <c r="C251" s="33"/>
      <c r="D251" s="33"/>
      <c r="E251" s="33"/>
      <c r="F251" s="42" t="s">
        <v>178</v>
      </c>
      <c r="G251" s="140">
        <v>5241.7</v>
      </c>
      <c r="H251" s="140">
        <v>5241.5</v>
      </c>
      <c r="I251" s="138">
        <f t="shared" si="64"/>
        <v>99.9961844439781</v>
      </c>
      <c r="J251" s="142">
        <f>K251+N251</f>
        <v>0</v>
      </c>
      <c r="K251" s="140"/>
      <c r="L251" s="140"/>
      <c r="M251" s="140"/>
      <c r="N251" s="115"/>
      <c r="O251" s="147"/>
      <c r="P251" s="139">
        <f t="shared" si="65"/>
        <v>5241.7</v>
      </c>
      <c r="Q251" s="158">
        <f t="shared" si="66"/>
        <v>5241.5</v>
      </c>
      <c r="R251" s="158">
        <f t="shared" si="67"/>
        <v>-0.1999999999998181</v>
      </c>
      <c r="S251" s="159">
        <f t="shared" si="68"/>
        <v>99.9961844439781</v>
      </c>
    </row>
    <row r="252" spans="3:19" s="46" customFormat="1" ht="43.5" customHeight="1">
      <c r="C252" s="28"/>
      <c r="D252" s="28"/>
      <c r="E252" s="28"/>
      <c r="F252" s="29" t="s">
        <v>312</v>
      </c>
      <c r="G252" s="139">
        <f>G253+G255</f>
        <v>0</v>
      </c>
      <c r="H252" s="139">
        <f aca="true" t="shared" si="77" ref="H252:N252">H253+H255</f>
        <v>0</v>
      </c>
      <c r="I252" s="161" t="e">
        <f t="shared" si="64"/>
        <v>#DIV/0!</v>
      </c>
      <c r="J252" s="139">
        <f>J253+J255</f>
        <v>6507.099999999999</v>
      </c>
      <c r="K252" s="139">
        <f t="shared" si="77"/>
        <v>0</v>
      </c>
      <c r="L252" s="139">
        <f t="shared" si="77"/>
        <v>5157</v>
      </c>
      <c r="M252" s="139">
        <f t="shared" si="77"/>
        <v>5157</v>
      </c>
      <c r="N252" s="60">
        <f t="shared" si="77"/>
        <v>9170</v>
      </c>
      <c r="O252" s="147">
        <f aca="true" t="shared" si="78" ref="O252:O309">L252/J252*100</f>
        <v>79.25189408492263</v>
      </c>
      <c r="P252" s="139">
        <f t="shared" si="65"/>
        <v>6507.099999999999</v>
      </c>
      <c r="Q252" s="158">
        <f t="shared" si="66"/>
        <v>5157</v>
      </c>
      <c r="R252" s="158">
        <f t="shared" si="67"/>
        <v>-1350.0999999999995</v>
      </c>
      <c r="S252" s="159">
        <f t="shared" si="68"/>
        <v>79.25189408492263</v>
      </c>
    </row>
    <row r="253" spans="3:19" s="6" customFormat="1" ht="41.25" customHeight="1">
      <c r="C253" s="30" t="s">
        <v>541</v>
      </c>
      <c r="D253" s="30" t="s">
        <v>65</v>
      </c>
      <c r="E253" s="30" t="s">
        <v>66</v>
      </c>
      <c r="F253" s="31" t="s">
        <v>542</v>
      </c>
      <c r="G253" s="138">
        <f>G254</f>
        <v>0</v>
      </c>
      <c r="H253" s="138">
        <f>H254</f>
        <v>0</v>
      </c>
      <c r="I253" s="161" t="e">
        <f t="shared" si="64"/>
        <v>#DIV/0!</v>
      </c>
      <c r="J253" s="138">
        <f>J254</f>
        <v>1732.2</v>
      </c>
      <c r="K253" s="138">
        <f>K254</f>
        <v>0</v>
      </c>
      <c r="L253" s="138">
        <f>L254</f>
        <v>385</v>
      </c>
      <c r="M253" s="138">
        <f>M254</f>
        <v>385</v>
      </c>
      <c r="N253" s="112">
        <f>N254</f>
        <v>6446</v>
      </c>
      <c r="O253" s="147">
        <f t="shared" si="78"/>
        <v>22.226070892506637</v>
      </c>
      <c r="P253" s="139">
        <f t="shared" si="65"/>
        <v>1732.2</v>
      </c>
      <c r="Q253" s="158">
        <f t="shared" si="66"/>
        <v>385</v>
      </c>
      <c r="R253" s="158">
        <f t="shared" si="67"/>
        <v>-1347.2</v>
      </c>
      <c r="S253" s="159">
        <f t="shared" si="68"/>
        <v>22.226070892506637</v>
      </c>
    </row>
    <row r="254" spans="3:19" s="37" customFormat="1" ht="80.25" customHeight="1">
      <c r="C254" s="30"/>
      <c r="D254" s="30"/>
      <c r="E254" s="30"/>
      <c r="F254" s="42" t="s">
        <v>543</v>
      </c>
      <c r="G254" s="140"/>
      <c r="H254" s="140"/>
      <c r="I254" s="161" t="e">
        <f t="shared" si="64"/>
        <v>#DIV/0!</v>
      </c>
      <c r="J254" s="142">
        <v>1732.2</v>
      </c>
      <c r="K254" s="140"/>
      <c r="L254" s="140">
        <v>385</v>
      </c>
      <c r="M254" s="140">
        <v>385</v>
      </c>
      <c r="N254" s="115">
        <v>6446</v>
      </c>
      <c r="O254" s="147">
        <f t="shared" si="78"/>
        <v>22.226070892506637</v>
      </c>
      <c r="P254" s="139">
        <f t="shared" si="65"/>
        <v>1732.2</v>
      </c>
      <c r="Q254" s="158">
        <f t="shared" si="66"/>
        <v>385</v>
      </c>
      <c r="R254" s="158">
        <f t="shared" si="67"/>
        <v>-1347.2</v>
      </c>
      <c r="S254" s="159">
        <f t="shared" si="68"/>
        <v>22.226070892506637</v>
      </c>
    </row>
    <row r="255" spans="3:19" s="37" customFormat="1" ht="80.25" customHeight="1">
      <c r="C255" s="30" t="s">
        <v>544</v>
      </c>
      <c r="D255" s="30" t="s">
        <v>67</v>
      </c>
      <c r="E255" s="30" t="s">
        <v>68</v>
      </c>
      <c r="F255" s="41" t="s">
        <v>545</v>
      </c>
      <c r="G255" s="183">
        <f>G256</f>
        <v>0</v>
      </c>
      <c r="H255" s="183">
        <f aca="true" t="shared" si="79" ref="H255:N255">H256</f>
        <v>0</v>
      </c>
      <c r="I255" s="161" t="e">
        <f t="shared" si="64"/>
        <v>#DIV/0!</v>
      </c>
      <c r="J255" s="138">
        <f>J256</f>
        <v>4774.9</v>
      </c>
      <c r="K255" s="140">
        <f t="shared" si="79"/>
        <v>0</v>
      </c>
      <c r="L255" s="140">
        <f t="shared" si="79"/>
        <v>4772</v>
      </c>
      <c r="M255" s="140">
        <f t="shared" si="79"/>
        <v>4772</v>
      </c>
      <c r="N255" s="119">
        <f t="shared" si="79"/>
        <v>2724</v>
      </c>
      <c r="O255" s="147">
        <f t="shared" si="78"/>
        <v>99.93926574378523</v>
      </c>
      <c r="P255" s="139">
        <f t="shared" si="65"/>
        <v>4774.9</v>
      </c>
      <c r="Q255" s="158">
        <f t="shared" si="66"/>
        <v>4772</v>
      </c>
      <c r="R255" s="158">
        <f t="shared" si="67"/>
        <v>-2.899999999999636</v>
      </c>
      <c r="S255" s="159">
        <f t="shared" si="68"/>
        <v>99.93926574378523</v>
      </c>
    </row>
    <row r="256" spans="3:19" s="37" customFormat="1" ht="80.25" customHeight="1">
      <c r="C256" s="33"/>
      <c r="D256" s="33"/>
      <c r="E256" s="33"/>
      <c r="F256" s="42" t="s">
        <v>543</v>
      </c>
      <c r="G256" s="140"/>
      <c r="H256" s="140"/>
      <c r="I256" s="161" t="e">
        <f t="shared" si="64"/>
        <v>#DIV/0!</v>
      </c>
      <c r="J256" s="142">
        <v>4774.9</v>
      </c>
      <c r="K256" s="140"/>
      <c r="L256" s="140">
        <v>4772</v>
      </c>
      <c r="M256" s="140">
        <v>4772</v>
      </c>
      <c r="N256" s="115">
        <v>2724</v>
      </c>
      <c r="O256" s="147">
        <f t="shared" si="78"/>
        <v>99.93926574378523</v>
      </c>
      <c r="P256" s="139">
        <f t="shared" si="65"/>
        <v>4774.9</v>
      </c>
      <c r="Q256" s="158">
        <f t="shared" si="66"/>
        <v>4772</v>
      </c>
      <c r="R256" s="158">
        <f t="shared" si="67"/>
        <v>-2.899999999999636</v>
      </c>
      <c r="S256" s="159">
        <f t="shared" si="68"/>
        <v>99.93926574378523</v>
      </c>
    </row>
    <row r="257" spans="3:19" s="70" customFormat="1" ht="42" customHeight="1">
      <c r="C257" s="28" t="s">
        <v>530</v>
      </c>
      <c r="D257" s="28" t="s">
        <v>341</v>
      </c>
      <c r="E257" s="85"/>
      <c r="F257" s="29" t="s">
        <v>342</v>
      </c>
      <c r="G257" s="139">
        <f>G258+G265+G269+G278+G284+G295+G297</f>
        <v>23119.599999999995</v>
      </c>
      <c r="H257" s="139">
        <f>H258+H265+H269+H278+H284+H295+H297</f>
        <v>23107.599999999995</v>
      </c>
      <c r="I257" s="138">
        <f t="shared" si="64"/>
        <v>99.94809598781987</v>
      </c>
      <c r="J257" s="139">
        <f>J258+J265+J269+J278+J284+J295+J297</f>
        <v>6697.599999999999</v>
      </c>
      <c r="K257" s="139">
        <f>K258+K265+K269+K278+K284+K295+K297</f>
        <v>0</v>
      </c>
      <c r="L257" s="139">
        <f>L258+L265+L269+L278+L284+L295+L297</f>
        <v>6694.9</v>
      </c>
      <c r="M257" s="139">
        <f>M258+M265+M269+M278+M284+M295+M297</f>
        <v>6694.9</v>
      </c>
      <c r="N257" s="60" t="e">
        <f>#REF!+N284+N295+N297</f>
        <v>#REF!</v>
      </c>
      <c r="O257" s="147">
        <f t="shared" si="78"/>
        <v>99.95968705207837</v>
      </c>
      <c r="P257" s="139">
        <f t="shared" si="65"/>
        <v>29817.199999999993</v>
      </c>
      <c r="Q257" s="158">
        <f t="shared" si="66"/>
        <v>29802.499999999993</v>
      </c>
      <c r="R257" s="158">
        <f t="shared" si="67"/>
        <v>-14.700000000000728</v>
      </c>
      <c r="S257" s="159">
        <f t="shared" si="68"/>
        <v>99.95069959620622</v>
      </c>
    </row>
    <row r="258" spans="1:19" s="76" customFormat="1" ht="55.5" customHeight="1">
      <c r="A258" s="37"/>
      <c r="B258" s="37"/>
      <c r="C258" s="33" t="s">
        <v>531</v>
      </c>
      <c r="D258" s="33" t="s">
        <v>318</v>
      </c>
      <c r="E258" s="33" t="s">
        <v>100</v>
      </c>
      <c r="F258" s="48" t="s">
        <v>324</v>
      </c>
      <c r="G258" s="142">
        <f>SUM(G259:G264)</f>
        <v>2051.1</v>
      </c>
      <c r="H258" s="142">
        <f aca="true" t="shared" si="80" ref="H258:M258">SUM(H259:H264)</f>
        <v>2043.2999999999997</v>
      </c>
      <c r="I258" s="138">
        <f t="shared" si="64"/>
        <v>99.61971624981716</v>
      </c>
      <c r="J258" s="142">
        <f>J259+J260+J261+J263+J264</f>
        <v>404.20000000000005</v>
      </c>
      <c r="K258" s="142">
        <f t="shared" si="80"/>
        <v>0</v>
      </c>
      <c r="L258" s="142">
        <f t="shared" si="80"/>
        <v>402.59999999999997</v>
      </c>
      <c r="M258" s="142">
        <f t="shared" si="80"/>
        <v>402.59999999999997</v>
      </c>
      <c r="N258" s="113">
        <f>SUM(N259:N264)</f>
        <v>719.95426</v>
      </c>
      <c r="O258" s="147">
        <f t="shared" si="78"/>
        <v>99.60415635823847</v>
      </c>
      <c r="P258" s="139">
        <f t="shared" si="65"/>
        <v>2455.3</v>
      </c>
      <c r="Q258" s="158">
        <f t="shared" si="66"/>
        <v>2445.8999999999996</v>
      </c>
      <c r="R258" s="158">
        <f t="shared" si="67"/>
        <v>-9.400000000000546</v>
      </c>
      <c r="S258" s="159">
        <f t="shared" si="68"/>
        <v>99.61715472650997</v>
      </c>
    </row>
    <row r="259" spans="1:19" s="76" customFormat="1" ht="66.75" customHeight="1">
      <c r="A259" s="37"/>
      <c r="B259" s="37"/>
      <c r="C259" s="33"/>
      <c r="D259" s="33"/>
      <c r="E259" s="33"/>
      <c r="F259" s="48" t="s">
        <v>33</v>
      </c>
      <c r="G259" s="142">
        <v>1294.1</v>
      </c>
      <c r="H259" s="142">
        <v>1290.3</v>
      </c>
      <c r="I259" s="138">
        <f t="shared" si="64"/>
        <v>99.70635963217681</v>
      </c>
      <c r="J259" s="142">
        <v>225</v>
      </c>
      <c r="K259" s="142"/>
      <c r="L259" s="142">
        <v>224.2</v>
      </c>
      <c r="M259" s="142">
        <v>224.2</v>
      </c>
      <c r="N259" s="113"/>
      <c r="O259" s="147">
        <f t="shared" si="78"/>
        <v>99.64444444444443</v>
      </c>
      <c r="P259" s="139">
        <f t="shared" si="65"/>
        <v>1519.1</v>
      </c>
      <c r="Q259" s="158">
        <f t="shared" si="66"/>
        <v>1514.5</v>
      </c>
      <c r="R259" s="158">
        <f t="shared" si="67"/>
        <v>-4.599999999999909</v>
      </c>
      <c r="S259" s="159">
        <f t="shared" si="68"/>
        <v>99.6971891251399</v>
      </c>
    </row>
    <row r="260" spans="1:19" s="76" customFormat="1" ht="60.75" customHeight="1">
      <c r="A260" s="37"/>
      <c r="B260" s="37"/>
      <c r="C260" s="33"/>
      <c r="D260" s="33"/>
      <c r="E260" s="33"/>
      <c r="F260" s="48" t="s">
        <v>150</v>
      </c>
      <c r="G260" s="142">
        <v>599</v>
      </c>
      <c r="H260" s="142">
        <v>597.8</v>
      </c>
      <c r="I260" s="138">
        <f t="shared" si="64"/>
        <v>99.79966611018362</v>
      </c>
      <c r="J260" s="142">
        <v>128.1</v>
      </c>
      <c r="K260" s="142"/>
      <c r="L260" s="142">
        <v>127.7</v>
      </c>
      <c r="M260" s="142">
        <v>127.7</v>
      </c>
      <c r="N260" s="113">
        <v>690</v>
      </c>
      <c r="O260" s="147">
        <f t="shared" si="78"/>
        <v>99.68774395003905</v>
      </c>
      <c r="P260" s="139">
        <f t="shared" si="65"/>
        <v>727.1</v>
      </c>
      <c r="Q260" s="158">
        <f t="shared" si="66"/>
        <v>725.5</v>
      </c>
      <c r="R260" s="158">
        <f t="shared" si="67"/>
        <v>-1.6000000000000227</v>
      </c>
      <c r="S260" s="159">
        <f t="shared" si="68"/>
        <v>99.77994773758768</v>
      </c>
    </row>
    <row r="261" spans="1:19" s="76" customFormat="1" ht="42.75" customHeight="1">
      <c r="A261" s="37"/>
      <c r="B261" s="37"/>
      <c r="C261" s="33"/>
      <c r="D261" s="33"/>
      <c r="E261" s="33"/>
      <c r="F261" s="48" t="s">
        <v>574</v>
      </c>
      <c r="G261" s="142">
        <v>112.9</v>
      </c>
      <c r="H261" s="142">
        <v>110.1</v>
      </c>
      <c r="I261" s="138">
        <f t="shared" si="64"/>
        <v>97.51992914083259</v>
      </c>
      <c r="J261" s="142">
        <v>15</v>
      </c>
      <c r="K261" s="142"/>
      <c r="L261" s="142">
        <v>15</v>
      </c>
      <c r="M261" s="142">
        <v>15</v>
      </c>
      <c r="N261" s="36">
        <v>14.95426</v>
      </c>
      <c r="O261" s="147">
        <f t="shared" si="78"/>
        <v>100</v>
      </c>
      <c r="P261" s="139">
        <f t="shared" si="65"/>
        <v>127.9</v>
      </c>
      <c r="Q261" s="158">
        <f t="shared" si="66"/>
        <v>125.1</v>
      </c>
      <c r="R261" s="158">
        <f t="shared" si="67"/>
        <v>-2.8000000000000114</v>
      </c>
      <c r="S261" s="159">
        <f t="shared" si="68"/>
        <v>97.81078967943705</v>
      </c>
    </row>
    <row r="262" spans="1:19" s="76" customFormat="1" ht="64.5" customHeight="1" hidden="1">
      <c r="A262" s="37"/>
      <c r="B262" s="37"/>
      <c r="C262" s="33"/>
      <c r="D262" s="33"/>
      <c r="E262" s="33"/>
      <c r="F262" s="48" t="s">
        <v>34</v>
      </c>
      <c r="G262" s="142"/>
      <c r="H262" s="142"/>
      <c r="I262" s="138" t="e">
        <f t="shared" si="64"/>
        <v>#DIV/0!</v>
      </c>
      <c r="J262" s="142">
        <f aca="true" t="shared" si="81" ref="J262:J277">K262+N262</f>
        <v>0</v>
      </c>
      <c r="K262" s="142"/>
      <c r="L262" s="142"/>
      <c r="M262" s="142"/>
      <c r="N262" s="113"/>
      <c r="O262" s="147" t="e">
        <f t="shared" si="78"/>
        <v>#DIV/0!</v>
      </c>
      <c r="P262" s="139">
        <f t="shared" si="65"/>
        <v>0</v>
      </c>
      <c r="Q262" s="158">
        <f t="shared" si="66"/>
        <v>0</v>
      </c>
      <c r="R262" s="158">
        <f t="shared" si="67"/>
        <v>0</v>
      </c>
      <c r="S262" s="159" t="e">
        <f t="shared" si="68"/>
        <v>#DIV/0!</v>
      </c>
    </row>
    <row r="263" spans="1:19" s="76" customFormat="1" ht="64.5" customHeight="1">
      <c r="A263" s="37"/>
      <c r="B263" s="37"/>
      <c r="C263" s="33"/>
      <c r="D263" s="33"/>
      <c r="E263" s="33"/>
      <c r="F263" s="48" t="s">
        <v>34</v>
      </c>
      <c r="G263" s="142">
        <v>45.1</v>
      </c>
      <c r="H263" s="142">
        <v>45.1</v>
      </c>
      <c r="I263" s="138"/>
      <c r="J263" s="142"/>
      <c r="K263" s="142"/>
      <c r="L263" s="142"/>
      <c r="M263" s="142"/>
      <c r="N263" s="113"/>
      <c r="O263" s="147"/>
      <c r="P263" s="139"/>
      <c r="Q263" s="158"/>
      <c r="R263" s="158"/>
      <c r="S263" s="159"/>
    </row>
    <row r="264" spans="3:19" s="15" customFormat="1" ht="87" customHeight="1">
      <c r="C264" s="30"/>
      <c r="D264" s="30"/>
      <c r="E264" s="30"/>
      <c r="F264" s="42" t="s">
        <v>98</v>
      </c>
      <c r="G264" s="138"/>
      <c r="H264" s="138"/>
      <c r="I264" s="161" t="e">
        <f t="shared" si="64"/>
        <v>#DIV/0!</v>
      </c>
      <c r="J264" s="142">
        <v>36.1</v>
      </c>
      <c r="K264" s="138"/>
      <c r="L264" s="138">
        <v>35.7</v>
      </c>
      <c r="M264" s="138">
        <v>35.7</v>
      </c>
      <c r="N264" s="113">
        <v>15</v>
      </c>
      <c r="O264" s="147">
        <f t="shared" si="78"/>
        <v>98.89196675900277</v>
      </c>
      <c r="P264" s="139">
        <f t="shared" si="65"/>
        <v>36.1</v>
      </c>
      <c r="Q264" s="158">
        <f t="shared" si="66"/>
        <v>35.7</v>
      </c>
      <c r="R264" s="158">
        <f t="shared" si="67"/>
        <v>-0.3999999999999986</v>
      </c>
      <c r="S264" s="159">
        <f t="shared" si="68"/>
        <v>98.89196675900277</v>
      </c>
    </row>
    <row r="265" spans="3:19" s="37" customFormat="1" ht="51.75" customHeight="1">
      <c r="C265" s="33" t="s">
        <v>532</v>
      </c>
      <c r="D265" s="33" t="s">
        <v>319</v>
      </c>
      <c r="E265" s="33" t="s">
        <v>100</v>
      </c>
      <c r="F265" s="42" t="s">
        <v>320</v>
      </c>
      <c r="G265" s="142">
        <f>G266</f>
        <v>0</v>
      </c>
      <c r="H265" s="142">
        <f>H266</f>
        <v>0</v>
      </c>
      <c r="I265" s="161" t="e">
        <f t="shared" si="64"/>
        <v>#DIV/0!</v>
      </c>
      <c r="J265" s="142">
        <f>J266</f>
        <v>5</v>
      </c>
      <c r="K265" s="142">
        <f>K266</f>
        <v>0</v>
      </c>
      <c r="L265" s="142">
        <f>L266</f>
        <v>5</v>
      </c>
      <c r="M265" s="142">
        <f>M266</f>
        <v>5</v>
      </c>
      <c r="N265" s="36">
        <f>SUM(N266:N268)</f>
        <v>5</v>
      </c>
      <c r="O265" s="147">
        <f t="shared" si="78"/>
        <v>100</v>
      </c>
      <c r="P265" s="139">
        <f t="shared" si="65"/>
        <v>5</v>
      </c>
      <c r="Q265" s="158">
        <f t="shared" si="66"/>
        <v>5</v>
      </c>
      <c r="R265" s="158">
        <f t="shared" si="67"/>
        <v>0</v>
      </c>
      <c r="S265" s="159">
        <f t="shared" si="68"/>
        <v>100</v>
      </c>
    </row>
    <row r="266" spans="3:19" s="37" customFormat="1" ht="84" customHeight="1">
      <c r="C266" s="33"/>
      <c r="D266" s="33"/>
      <c r="E266" s="33"/>
      <c r="F266" s="42" t="s">
        <v>132</v>
      </c>
      <c r="G266" s="142"/>
      <c r="H266" s="142"/>
      <c r="I266" s="161" t="e">
        <f t="shared" si="64"/>
        <v>#DIV/0!</v>
      </c>
      <c r="J266" s="142">
        <v>5</v>
      </c>
      <c r="K266" s="142"/>
      <c r="L266" s="142">
        <v>5</v>
      </c>
      <c r="M266" s="142">
        <v>5</v>
      </c>
      <c r="N266" s="113">
        <v>5</v>
      </c>
      <c r="O266" s="147">
        <f t="shared" si="78"/>
        <v>100</v>
      </c>
      <c r="P266" s="139">
        <f t="shared" si="65"/>
        <v>5</v>
      </c>
      <c r="Q266" s="158">
        <f t="shared" si="66"/>
        <v>5</v>
      </c>
      <c r="R266" s="158">
        <f t="shared" si="67"/>
        <v>0</v>
      </c>
      <c r="S266" s="159">
        <f t="shared" si="68"/>
        <v>100</v>
      </c>
    </row>
    <row r="267" spans="3:19" s="37" customFormat="1" ht="60.75" customHeight="1" hidden="1">
      <c r="C267" s="33"/>
      <c r="D267" s="33"/>
      <c r="E267" s="33"/>
      <c r="F267" s="42" t="s">
        <v>33</v>
      </c>
      <c r="G267" s="142"/>
      <c r="H267" s="142"/>
      <c r="I267" s="161" t="e">
        <f t="shared" si="64"/>
        <v>#DIV/0!</v>
      </c>
      <c r="J267" s="142">
        <f t="shared" si="81"/>
        <v>0</v>
      </c>
      <c r="K267" s="142"/>
      <c r="L267" s="142"/>
      <c r="M267" s="142"/>
      <c r="N267" s="113"/>
      <c r="O267" s="147" t="e">
        <f t="shared" si="78"/>
        <v>#DIV/0!</v>
      </c>
      <c r="P267" s="139">
        <f t="shared" si="65"/>
        <v>0</v>
      </c>
      <c r="Q267" s="158">
        <f t="shared" si="66"/>
        <v>0</v>
      </c>
      <c r="R267" s="158">
        <f t="shared" si="67"/>
        <v>0</v>
      </c>
      <c r="S267" s="159" t="e">
        <f t="shared" si="68"/>
        <v>#DIV/0!</v>
      </c>
    </row>
    <row r="268" spans="3:19" s="37" customFormat="1" ht="60.75" customHeight="1" hidden="1">
      <c r="C268" s="33"/>
      <c r="D268" s="33"/>
      <c r="E268" s="33"/>
      <c r="F268" s="42" t="s">
        <v>546</v>
      </c>
      <c r="G268" s="142"/>
      <c r="H268" s="142"/>
      <c r="I268" s="161" t="e">
        <f aca="true" t="shared" si="82" ref="I268:I329">H268/G268*100</f>
        <v>#DIV/0!</v>
      </c>
      <c r="J268" s="142">
        <f t="shared" si="81"/>
        <v>0</v>
      </c>
      <c r="K268" s="142"/>
      <c r="L268" s="142"/>
      <c r="M268" s="142"/>
      <c r="N268" s="113"/>
      <c r="O268" s="147" t="e">
        <f t="shared" si="78"/>
        <v>#DIV/0!</v>
      </c>
      <c r="P268" s="139">
        <f aca="true" t="shared" si="83" ref="P268:P329">G268+J268</f>
        <v>0</v>
      </c>
      <c r="Q268" s="158">
        <f aca="true" t="shared" si="84" ref="Q268:Q329">H268+L268</f>
        <v>0</v>
      </c>
      <c r="R268" s="158">
        <f aca="true" t="shared" si="85" ref="R268:R329">Q268-P268</f>
        <v>0</v>
      </c>
      <c r="S268" s="159" t="e">
        <f aca="true" t="shared" si="86" ref="S268:S329">Q268/P268*100</f>
        <v>#DIV/0!</v>
      </c>
    </row>
    <row r="269" spans="3:19" s="6" customFormat="1" ht="37.5">
      <c r="C269" s="33" t="s">
        <v>533</v>
      </c>
      <c r="D269" s="33" t="s">
        <v>321</v>
      </c>
      <c r="E269" s="33" t="s">
        <v>100</v>
      </c>
      <c r="F269" s="42" t="s">
        <v>322</v>
      </c>
      <c r="G269" s="138">
        <f>SUM(G270:G275)</f>
        <v>10</v>
      </c>
      <c r="H269" s="138">
        <f>SUM(H270:H275)</f>
        <v>9.5</v>
      </c>
      <c r="I269" s="161">
        <f t="shared" si="82"/>
        <v>95</v>
      </c>
      <c r="J269" s="138">
        <f>SUM(J270:J275)</f>
        <v>0</v>
      </c>
      <c r="K269" s="138">
        <f>SUM(K270:K275)</f>
        <v>0</v>
      </c>
      <c r="L269" s="138">
        <f>SUM(L270:L275)</f>
        <v>0</v>
      </c>
      <c r="M269" s="138">
        <f>SUM(M270:M275)</f>
        <v>0</v>
      </c>
      <c r="N269" s="113">
        <f>SUM(N271:N275)</f>
        <v>0</v>
      </c>
      <c r="O269" s="147"/>
      <c r="P269" s="139">
        <f t="shared" si="83"/>
        <v>10</v>
      </c>
      <c r="Q269" s="158">
        <f t="shared" si="84"/>
        <v>9.5</v>
      </c>
      <c r="R269" s="158">
        <f t="shared" si="85"/>
        <v>-0.5</v>
      </c>
      <c r="S269" s="159">
        <f t="shared" si="86"/>
        <v>95</v>
      </c>
    </row>
    <row r="270" spans="3:19" s="6" customFormat="1" ht="37.5">
      <c r="C270" s="33"/>
      <c r="D270" s="33"/>
      <c r="E270" s="33"/>
      <c r="F270" s="42" t="s">
        <v>574</v>
      </c>
      <c r="G270" s="138">
        <v>10</v>
      </c>
      <c r="H270" s="138">
        <v>9.5</v>
      </c>
      <c r="I270" s="161"/>
      <c r="J270" s="142"/>
      <c r="K270" s="138"/>
      <c r="L270" s="138"/>
      <c r="M270" s="142"/>
      <c r="N270" s="113"/>
      <c r="O270" s="147"/>
      <c r="P270" s="139"/>
      <c r="Q270" s="158"/>
      <c r="R270" s="158"/>
      <c r="S270" s="159"/>
    </row>
    <row r="271" spans="3:19" s="16" customFormat="1" ht="56.25" hidden="1">
      <c r="C271" s="33"/>
      <c r="D271" s="33"/>
      <c r="E271" s="33"/>
      <c r="F271" s="42" t="s">
        <v>101</v>
      </c>
      <c r="G271" s="142"/>
      <c r="H271" s="142"/>
      <c r="I271" s="161" t="e">
        <f t="shared" si="82"/>
        <v>#DIV/0!</v>
      </c>
      <c r="J271" s="142">
        <f t="shared" si="81"/>
        <v>0</v>
      </c>
      <c r="K271" s="142"/>
      <c r="L271" s="142"/>
      <c r="M271" s="142"/>
      <c r="N271" s="113"/>
      <c r="O271" s="147" t="e">
        <f t="shared" si="78"/>
        <v>#DIV/0!</v>
      </c>
      <c r="P271" s="139">
        <f t="shared" si="83"/>
        <v>0</v>
      </c>
      <c r="Q271" s="158">
        <f t="shared" si="84"/>
        <v>0</v>
      </c>
      <c r="R271" s="158">
        <f t="shared" si="85"/>
        <v>0</v>
      </c>
      <c r="S271" s="159" t="e">
        <f t="shared" si="86"/>
        <v>#DIV/0!</v>
      </c>
    </row>
    <row r="272" spans="3:19" s="16" customFormat="1" ht="56.25" hidden="1">
      <c r="C272" s="33"/>
      <c r="D272" s="33"/>
      <c r="E272" s="33"/>
      <c r="F272" s="42" t="s">
        <v>33</v>
      </c>
      <c r="G272" s="142"/>
      <c r="H272" s="142"/>
      <c r="I272" s="161" t="e">
        <f t="shared" si="82"/>
        <v>#DIV/0!</v>
      </c>
      <c r="J272" s="142">
        <f t="shared" si="81"/>
        <v>0</v>
      </c>
      <c r="K272" s="142"/>
      <c r="L272" s="142"/>
      <c r="M272" s="142"/>
      <c r="N272" s="113"/>
      <c r="O272" s="147" t="e">
        <f t="shared" si="78"/>
        <v>#DIV/0!</v>
      </c>
      <c r="P272" s="139">
        <f t="shared" si="83"/>
        <v>0</v>
      </c>
      <c r="Q272" s="158">
        <f t="shared" si="84"/>
        <v>0</v>
      </c>
      <c r="R272" s="158">
        <f t="shared" si="85"/>
        <v>0</v>
      </c>
      <c r="S272" s="159" t="e">
        <f t="shared" si="86"/>
        <v>#DIV/0!</v>
      </c>
    </row>
    <row r="273" spans="3:19" s="16" customFormat="1" ht="75" hidden="1">
      <c r="C273" s="33"/>
      <c r="D273" s="33"/>
      <c r="E273" s="33"/>
      <c r="F273" s="42" t="s">
        <v>26</v>
      </c>
      <c r="G273" s="142"/>
      <c r="H273" s="142"/>
      <c r="I273" s="161" t="e">
        <f t="shared" si="82"/>
        <v>#DIV/0!</v>
      </c>
      <c r="J273" s="142">
        <f t="shared" si="81"/>
        <v>0</v>
      </c>
      <c r="K273" s="142"/>
      <c r="L273" s="142"/>
      <c r="M273" s="142"/>
      <c r="N273" s="113"/>
      <c r="O273" s="147" t="e">
        <f t="shared" si="78"/>
        <v>#DIV/0!</v>
      </c>
      <c r="P273" s="139">
        <f t="shared" si="83"/>
        <v>0</v>
      </c>
      <c r="Q273" s="158">
        <f t="shared" si="84"/>
        <v>0</v>
      </c>
      <c r="R273" s="158">
        <f t="shared" si="85"/>
        <v>0</v>
      </c>
      <c r="S273" s="159" t="e">
        <f t="shared" si="86"/>
        <v>#DIV/0!</v>
      </c>
    </row>
    <row r="274" spans="3:19" s="16" customFormat="1" ht="37.5" hidden="1">
      <c r="C274" s="33"/>
      <c r="D274" s="33"/>
      <c r="E274" s="33"/>
      <c r="F274" s="42" t="s">
        <v>133</v>
      </c>
      <c r="G274" s="142"/>
      <c r="H274" s="142"/>
      <c r="I274" s="161" t="e">
        <f t="shared" si="82"/>
        <v>#DIV/0!</v>
      </c>
      <c r="J274" s="142">
        <f t="shared" si="81"/>
        <v>0</v>
      </c>
      <c r="K274" s="142"/>
      <c r="L274" s="142"/>
      <c r="M274" s="142"/>
      <c r="N274" s="113"/>
      <c r="O274" s="147" t="e">
        <f t="shared" si="78"/>
        <v>#DIV/0!</v>
      </c>
      <c r="P274" s="139">
        <f t="shared" si="83"/>
        <v>0</v>
      </c>
      <c r="Q274" s="158">
        <f t="shared" si="84"/>
        <v>0</v>
      </c>
      <c r="R274" s="158">
        <f t="shared" si="85"/>
        <v>0</v>
      </c>
      <c r="S274" s="159" t="e">
        <f t="shared" si="86"/>
        <v>#DIV/0!</v>
      </c>
    </row>
    <row r="275" spans="3:19" s="37" customFormat="1" ht="56.25" hidden="1">
      <c r="C275" s="33"/>
      <c r="D275" s="33"/>
      <c r="E275" s="33"/>
      <c r="F275" s="42" t="s">
        <v>546</v>
      </c>
      <c r="G275" s="142"/>
      <c r="H275" s="142"/>
      <c r="I275" s="161" t="e">
        <f t="shared" si="82"/>
        <v>#DIV/0!</v>
      </c>
      <c r="J275" s="142">
        <f t="shared" si="81"/>
        <v>0</v>
      </c>
      <c r="K275" s="142"/>
      <c r="L275" s="142"/>
      <c r="M275" s="142"/>
      <c r="N275" s="113"/>
      <c r="O275" s="147" t="e">
        <f t="shared" si="78"/>
        <v>#DIV/0!</v>
      </c>
      <c r="P275" s="139">
        <f t="shared" si="83"/>
        <v>0</v>
      </c>
      <c r="Q275" s="158">
        <f t="shared" si="84"/>
        <v>0</v>
      </c>
      <c r="R275" s="158">
        <f t="shared" si="85"/>
        <v>0</v>
      </c>
      <c r="S275" s="159" t="e">
        <f t="shared" si="86"/>
        <v>#DIV/0!</v>
      </c>
    </row>
    <row r="276" spans="3:19" s="37" customFormat="1" ht="22.5" customHeight="1" hidden="1">
      <c r="C276" s="33" t="s">
        <v>534</v>
      </c>
      <c r="D276" s="33" t="s">
        <v>325</v>
      </c>
      <c r="E276" s="33" t="s">
        <v>100</v>
      </c>
      <c r="F276" s="42" t="s">
        <v>326</v>
      </c>
      <c r="G276" s="142">
        <f>G277</f>
        <v>0</v>
      </c>
      <c r="H276" s="142">
        <f>H277</f>
        <v>0</v>
      </c>
      <c r="I276" s="161" t="e">
        <f t="shared" si="82"/>
        <v>#DIV/0!</v>
      </c>
      <c r="J276" s="142">
        <f t="shared" si="81"/>
        <v>0</v>
      </c>
      <c r="K276" s="142">
        <f>K277</f>
        <v>0</v>
      </c>
      <c r="L276" s="142">
        <f>L277</f>
        <v>0</v>
      </c>
      <c r="M276" s="142">
        <f>M277</f>
        <v>0</v>
      </c>
      <c r="N276" s="113">
        <f>N277</f>
        <v>0</v>
      </c>
      <c r="O276" s="147" t="e">
        <f t="shared" si="78"/>
        <v>#DIV/0!</v>
      </c>
      <c r="P276" s="139">
        <f t="shared" si="83"/>
        <v>0</v>
      </c>
      <c r="Q276" s="158">
        <f t="shared" si="84"/>
        <v>0</v>
      </c>
      <c r="R276" s="158">
        <f t="shared" si="85"/>
        <v>0</v>
      </c>
      <c r="S276" s="159" t="e">
        <f t="shared" si="86"/>
        <v>#DIV/0!</v>
      </c>
    </row>
    <row r="277" spans="3:19" s="37" customFormat="1" ht="32.25" customHeight="1" hidden="1">
      <c r="C277" s="33"/>
      <c r="D277" s="33"/>
      <c r="E277" s="33"/>
      <c r="F277" s="42" t="s">
        <v>33</v>
      </c>
      <c r="G277" s="142"/>
      <c r="H277" s="142"/>
      <c r="I277" s="161" t="e">
        <f t="shared" si="82"/>
        <v>#DIV/0!</v>
      </c>
      <c r="J277" s="142">
        <f t="shared" si="81"/>
        <v>0</v>
      </c>
      <c r="K277" s="142"/>
      <c r="L277" s="142"/>
      <c r="M277" s="142"/>
      <c r="N277" s="113"/>
      <c r="O277" s="147" t="e">
        <f t="shared" si="78"/>
        <v>#DIV/0!</v>
      </c>
      <c r="P277" s="139">
        <f t="shared" si="83"/>
        <v>0</v>
      </c>
      <c r="Q277" s="158">
        <f t="shared" si="84"/>
        <v>0</v>
      </c>
      <c r="R277" s="158">
        <f t="shared" si="85"/>
        <v>0</v>
      </c>
      <c r="S277" s="159" t="e">
        <f t="shared" si="86"/>
        <v>#DIV/0!</v>
      </c>
    </row>
    <row r="278" spans="3:19" s="37" customFormat="1" ht="45.75" customHeight="1">
      <c r="C278" s="33" t="s">
        <v>535</v>
      </c>
      <c r="D278" s="33" t="s">
        <v>327</v>
      </c>
      <c r="E278" s="33" t="s">
        <v>100</v>
      </c>
      <c r="F278" s="42" t="s">
        <v>330</v>
      </c>
      <c r="G278" s="142">
        <f>SUM(G279:G280)</f>
        <v>0</v>
      </c>
      <c r="H278" s="142">
        <f aca="true" t="shared" si="87" ref="H278:N278">SUM(H279:H280)</f>
        <v>0</v>
      </c>
      <c r="I278" s="161" t="e">
        <f t="shared" si="82"/>
        <v>#DIV/0!</v>
      </c>
      <c r="J278" s="142">
        <f>J280+J279</f>
        <v>4922.7</v>
      </c>
      <c r="K278" s="142">
        <f t="shared" si="87"/>
        <v>0</v>
      </c>
      <c r="L278" s="142">
        <f t="shared" si="87"/>
        <v>4922.599999999999</v>
      </c>
      <c r="M278" s="142">
        <f t="shared" si="87"/>
        <v>4922.599999999999</v>
      </c>
      <c r="N278" s="36">
        <f t="shared" si="87"/>
        <v>4950.799999999999</v>
      </c>
      <c r="O278" s="147">
        <f t="shared" si="78"/>
        <v>99.9979685944705</v>
      </c>
      <c r="P278" s="139">
        <f t="shared" si="83"/>
        <v>4922.7</v>
      </c>
      <c r="Q278" s="158">
        <f t="shared" si="84"/>
        <v>4922.599999999999</v>
      </c>
      <c r="R278" s="158">
        <f t="shared" si="85"/>
        <v>-0.1000000000003638</v>
      </c>
      <c r="S278" s="159">
        <f t="shared" si="86"/>
        <v>99.9979685944705</v>
      </c>
    </row>
    <row r="279" spans="3:19" s="37" customFormat="1" ht="63.75" customHeight="1">
      <c r="C279" s="33"/>
      <c r="D279" s="33"/>
      <c r="E279" s="33"/>
      <c r="F279" s="42" t="s">
        <v>33</v>
      </c>
      <c r="G279" s="142"/>
      <c r="H279" s="142"/>
      <c r="I279" s="161" t="e">
        <f t="shared" si="82"/>
        <v>#DIV/0!</v>
      </c>
      <c r="J279" s="142">
        <f>2837.3+81.2</f>
        <v>2918.5</v>
      </c>
      <c r="K279" s="142"/>
      <c r="L279" s="142">
        <f>2837.2+81.2+0.1</f>
        <v>2918.4999999999995</v>
      </c>
      <c r="M279" s="142">
        <f>2837.2+81.2+0.1</f>
        <v>2918.4999999999995</v>
      </c>
      <c r="N279" s="113">
        <v>3172.2</v>
      </c>
      <c r="O279" s="147">
        <f t="shared" si="78"/>
        <v>99.99999999999999</v>
      </c>
      <c r="P279" s="139">
        <f t="shared" si="83"/>
        <v>2918.5</v>
      </c>
      <c r="Q279" s="158">
        <f t="shared" si="84"/>
        <v>2918.4999999999995</v>
      </c>
      <c r="R279" s="158">
        <f t="shared" si="85"/>
        <v>0</v>
      </c>
      <c r="S279" s="159">
        <f t="shared" si="86"/>
        <v>99.99999999999999</v>
      </c>
    </row>
    <row r="280" spans="3:19" s="37" customFormat="1" ht="63.75" customHeight="1">
      <c r="C280" s="33"/>
      <c r="D280" s="33"/>
      <c r="E280" s="33"/>
      <c r="F280" s="42" t="s">
        <v>547</v>
      </c>
      <c r="G280" s="142"/>
      <c r="H280" s="142"/>
      <c r="I280" s="161" t="e">
        <f t="shared" si="82"/>
        <v>#DIV/0!</v>
      </c>
      <c r="J280" s="142">
        <v>2004.2</v>
      </c>
      <c r="K280" s="142"/>
      <c r="L280" s="142">
        <v>2004.1</v>
      </c>
      <c r="M280" s="142">
        <v>2004.1</v>
      </c>
      <c r="N280" s="113">
        <f>1908-129.4</f>
        <v>1778.6</v>
      </c>
      <c r="O280" s="147">
        <f t="shared" si="78"/>
        <v>99.9950104779962</v>
      </c>
      <c r="P280" s="139">
        <f t="shared" si="83"/>
        <v>2004.2</v>
      </c>
      <c r="Q280" s="158">
        <f t="shared" si="84"/>
        <v>2004.1</v>
      </c>
      <c r="R280" s="158">
        <f t="shared" si="85"/>
        <v>-0.10000000000013642</v>
      </c>
      <c r="S280" s="159">
        <f t="shared" si="86"/>
        <v>99.9950104779962</v>
      </c>
    </row>
    <row r="281" spans="3:19" s="37" customFormat="1" ht="51.75" customHeight="1" hidden="1">
      <c r="C281" s="33" t="s">
        <v>536</v>
      </c>
      <c r="D281" s="33" t="s">
        <v>328</v>
      </c>
      <c r="E281" s="33" t="s">
        <v>100</v>
      </c>
      <c r="F281" s="42" t="s">
        <v>331</v>
      </c>
      <c r="G281" s="142">
        <f>G282</f>
        <v>0</v>
      </c>
      <c r="H281" s="142">
        <f>H282</f>
        <v>0</v>
      </c>
      <c r="I281" s="138" t="e">
        <f t="shared" si="82"/>
        <v>#DIV/0!</v>
      </c>
      <c r="J281" s="142">
        <f aca="true" t="shared" si="88" ref="J281:J298">K281+N281</f>
        <v>0</v>
      </c>
      <c r="K281" s="142">
        <f>K282</f>
        <v>0</v>
      </c>
      <c r="L281" s="142">
        <f>L282</f>
        <v>0</v>
      </c>
      <c r="M281" s="142">
        <f>M282</f>
        <v>0</v>
      </c>
      <c r="N281" s="113">
        <f>N282</f>
        <v>0</v>
      </c>
      <c r="O281" s="147" t="e">
        <f t="shared" si="78"/>
        <v>#DIV/0!</v>
      </c>
      <c r="P281" s="139">
        <f t="shared" si="83"/>
        <v>0</v>
      </c>
      <c r="Q281" s="158">
        <f t="shared" si="84"/>
        <v>0</v>
      </c>
      <c r="R281" s="158">
        <f t="shared" si="85"/>
        <v>0</v>
      </c>
      <c r="S281" s="159" t="e">
        <f t="shared" si="86"/>
        <v>#DIV/0!</v>
      </c>
    </row>
    <row r="282" spans="3:19" s="37" customFormat="1" ht="60" customHeight="1" hidden="1">
      <c r="C282" s="33"/>
      <c r="D282" s="33"/>
      <c r="E282" s="33"/>
      <c r="F282" s="42" t="s">
        <v>332</v>
      </c>
      <c r="G282" s="142"/>
      <c r="H282" s="142"/>
      <c r="I282" s="138" t="e">
        <f t="shared" si="82"/>
        <v>#DIV/0!</v>
      </c>
      <c r="J282" s="142">
        <f t="shared" si="88"/>
        <v>0</v>
      </c>
      <c r="K282" s="142"/>
      <c r="L282" s="142"/>
      <c r="M282" s="142"/>
      <c r="N282" s="113"/>
      <c r="O282" s="147" t="e">
        <f t="shared" si="78"/>
        <v>#DIV/0!</v>
      </c>
      <c r="P282" s="139">
        <f t="shared" si="83"/>
        <v>0</v>
      </c>
      <c r="Q282" s="158">
        <f t="shared" si="84"/>
        <v>0</v>
      </c>
      <c r="R282" s="158">
        <f t="shared" si="85"/>
        <v>0</v>
      </c>
      <c r="S282" s="159" t="e">
        <f t="shared" si="86"/>
        <v>#DIV/0!</v>
      </c>
    </row>
    <row r="283" spans="3:19" s="37" customFormat="1" ht="51" customHeight="1" hidden="1">
      <c r="C283" s="33" t="s">
        <v>537</v>
      </c>
      <c r="D283" s="33" t="s">
        <v>329</v>
      </c>
      <c r="E283" s="33" t="s">
        <v>100</v>
      </c>
      <c r="F283" s="42" t="s">
        <v>333</v>
      </c>
      <c r="G283" s="142"/>
      <c r="H283" s="142"/>
      <c r="I283" s="138" t="e">
        <f t="shared" si="82"/>
        <v>#DIV/0!</v>
      </c>
      <c r="J283" s="142">
        <f t="shared" si="88"/>
        <v>0</v>
      </c>
      <c r="K283" s="142"/>
      <c r="L283" s="142"/>
      <c r="M283" s="142"/>
      <c r="N283" s="113"/>
      <c r="O283" s="147" t="e">
        <f t="shared" si="78"/>
        <v>#DIV/0!</v>
      </c>
      <c r="P283" s="139">
        <f t="shared" si="83"/>
        <v>0</v>
      </c>
      <c r="Q283" s="158">
        <f t="shared" si="84"/>
        <v>0</v>
      </c>
      <c r="R283" s="158">
        <f t="shared" si="85"/>
        <v>0</v>
      </c>
      <c r="S283" s="159" t="e">
        <f t="shared" si="86"/>
        <v>#DIV/0!</v>
      </c>
    </row>
    <row r="284" spans="1:19" s="6" customFormat="1" ht="36" customHeight="1">
      <c r="A284" s="6">
        <v>4</v>
      </c>
      <c r="B284" s="6">
        <v>40</v>
      </c>
      <c r="C284" s="30" t="s">
        <v>505</v>
      </c>
      <c r="D284" s="30" t="s">
        <v>99</v>
      </c>
      <c r="E284" s="30" t="s">
        <v>100</v>
      </c>
      <c r="F284" s="41" t="s">
        <v>323</v>
      </c>
      <c r="G284" s="138">
        <f>SUM(G285:G294)</f>
        <v>20612.1</v>
      </c>
      <c r="H284" s="138">
        <f>SUM(H285:H294)</f>
        <v>20608.399999999998</v>
      </c>
      <c r="I284" s="138">
        <f t="shared" si="82"/>
        <v>99.98204937876297</v>
      </c>
      <c r="J284" s="142">
        <f>J285+J287+J290+J291+J292+J294</f>
        <v>1365.7</v>
      </c>
      <c r="K284" s="138">
        <f>SUM(K285:K294)</f>
        <v>0</v>
      </c>
      <c r="L284" s="138">
        <f>SUM(L285:L294)</f>
        <v>1364.7</v>
      </c>
      <c r="M284" s="138">
        <f>SUM(M285:M294)</f>
        <v>1364.7</v>
      </c>
      <c r="N284" s="112">
        <f>SUM(N285:N294)</f>
        <v>569.4</v>
      </c>
      <c r="O284" s="147">
        <f t="shared" si="78"/>
        <v>99.92677747675185</v>
      </c>
      <c r="P284" s="139">
        <f t="shared" si="83"/>
        <v>21977.8</v>
      </c>
      <c r="Q284" s="158">
        <f t="shared" si="84"/>
        <v>21973.1</v>
      </c>
      <c r="R284" s="158">
        <f t="shared" si="85"/>
        <v>-4.700000000000728</v>
      </c>
      <c r="S284" s="159">
        <f t="shared" si="86"/>
        <v>99.97861478400931</v>
      </c>
    </row>
    <row r="285" spans="3:19" s="16" customFormat="1" ht="63" customHeight="1">
      <c r="C285" s="33"/>
      <c r="D285" s="33"/>
      <c r="E285" s="33"/>
      <c r="F285" s="42" t="s">
        <v>33</v>
      </c>
      <c r="G285" s="142">
        <v>18898.3</v>
      </c>
      <c r="H285" s="142">
        <v>18895.1</v>
      </c>
      <c r="I285" s="138">
        <f t="shared" si="82"/>
        <v>99.98306726001809</v>
      </c>
      <c r="J285" s="142">
        <f>858.6+134.8</f>
        <v>993.4000000000001</v>
      </c>
      <c r="K285" s="146"/>
      <c r="L285" s="142">
        <f>858.3+134.8+0.1</f>
        <v>993.1999999999999</v>
      </c>
      <c r="M285" s="142">
        <f>858.3+134.8+0.1</f>
        <v>993.1999999999999</v>
      </c>
      <c r="N285" s="113">
        <f>340+129.4</f>
        <v>469.4</v>
      </c>
      <c r="O285" s="147">
        <f t="shared" si="78"/>
        <v>99.97986712301187</v>
      </c>
      <c r="P285" s="139">
        <f t="shared" si="83"/>
        <v>19891.7</v>
      </c>
      <c r="Q285" s="158">
        <f t="shared" si="84"/>
        <v>19888.3</v>
      </c>
      <c r="R285" s="158">
        <f t="shared" si="85"/>
        <v>-3.400000000001455</v>
      </c>
      <c r="S285" s="159">
        <f t="shared" si="86"/>
        <v>99.98290744380822</v>
      </c>
    </row>
    <row r="286" spans="3:19" s="16" customFormat="1" ht="60.75" customHeight="1" hidden="1">
      <c r="C286" s="33"/>
      <c r="D286" s="33"/>
      <c r="E286" s="33"/>
      <c r="F286" s="35" t="s">
        <v>132</v>
      </c>
      <c r="G286" s="142"/>
      <c r="H286" s="146"/>
      <c r="I286" s="138" t="e">
        <f t="shared" si="82"/>
        <v>#DIV/0!</v>
      </c>
      <c r="J286" s="142">
        <f t="shared" si="88"/>
        <v>0</v>
      </c>
      <c r="K286" s="146"/>
      <c r="L286" s="142"/>
      <c r="M286" s="142"/>
      <c r="N286" s="113"/>
      <c r="O286" s="147" t="e">
        <f t="shared" si="78"/>
        <v>#DIV/0!</v>
      </c>
      <c r="P286" s="139">
        <f t="shared" si="83"/>
        <v>0</v>
      </c>
      <c r="Q286" s="158">
        <f t="shared" si="84"/>
        <v>0</v>
      </c>
      <c r="R286" s="158">
        <f t="shared" si="85"/>
        <v>0</v>
      </c>
      <c r="S286" s="159" t="e">
        <f t="shared" si="86"/>
        <v>#DIV/0!</v>
      </c>
    </row>
    <row r="287" spans="3:19" s="37" customFormat="1" ht="76.5" customHeight="1">
      <c r="C287" s="33"/>
      <c r="D287" s="33"/>
      <c r="E287" s="33"/>
      <c r="F287" s="42" t="s">
        <v>101</v>
      </c>
      <c r="G287" s="142">
        <v>187.6</v>
      </c>
      <c r="H287" s="142">
        <v>187.6</v>
      </c>
      <c r="I287" s="138">
        <f t="shared" si="82"/>
        <v>100</v>
      </c>
      <c r="J287" s="142">
        <v>234.8</v>
      </c>
      <c r="K287" s="142"/>
      <c r="L287" s="142">
        <v>234.8</v>
      </c>
      <c r="M287" s="142">
        <v>234.8</v>
      </c>
      <c r="N287" s="113"/>
      <c r="O287" s="147">
        <f t="shared" si="78"/>
        <v>100</v>
      </c>
      <c r="P287" s="139">
        <f t="shared" si="83"/>
        <v>422.4</v>
      </c>
      <c r="Q287" s="158">
        <f t="shared" si="84"/>
        <v>422.4</v>
      </c>
      <c r="R287" s="158">
        <f t="shared" si="85"/>
        <v>0</v>
      </c>
      <c r="S287" s="159">
        <f t="shared" si="86"/>
        <v>100</v>
      </c>
    </row>
    <row r="288" spans="3:19" s="16" customFormat="1" ht="67.5" customHeight="1" hidden="1">
      <c r="C288" s="33"/>
      <c r="D288" s="33"/>
      <c r="E288" s="33"/>
      <c r="F288" s="35" t="s">
        <v>516</v>
      </c>
      <c r="G288" s="142"/>
      <c r="H288" s="146"/>
      <c r="I288" s="138" t="e">
        <f t="shared" si="82"/>
        <v>#DIV/0!</v>
      </c>
      <c r="J288" s="142">
        <f t="shared" si="88"/>
        <v>0</v>
      </c>
      <c r="K288" s="146"/>
      <c r="L288" s="142"/>
      <c r="M288" s="142"/>
      <c r="N288" s="113"/>
      <c r="O288" s="147" t="e">
        <f t="shared" si="78"/>
        <v>#DIV/0!</v>
      </c>
      <c r="P288" s="139">
        <f t="shared" si="83"/>
        <v>0</v>
      </c>
      <c r="Q288" s="158">
        <f t="shared" si="84"/>
        <v>0</v>
      </c>
      <c r="R288" s="158">
        <f t="shared" si="85"/>
        <v>0</v>
      </c>
      <c r="S288" s="159" t="e">
        <f t="shared" si="86"/>
        <v>#DIV/0!</v>
      </c>
    </row>
    <row r="289" spans="3:19" s="16" customFormat="1" ht="81.75" customHeight="1" hidden="1">
      <c r="C289" s="33"/>
      <c r="D289" s="33"/>
      <c r="E289" s="33"/>
      <c r="F289" s="35" t="s">
        <v>517</v>
      </c>
      <c r="G289" s="142"/>
      <c r="H289" s="146"/>
      <c r="I289" s="138" t="e">
        <f t="shared" si="82"/>
        <v>#DIV/0!</v>
      </c>
      <c r="J289" s="142">
        <f t="shared" si="88"/>
        <v>0</v>
      </c>
      <c r="K289" s="152"/>
      <c r="L289" s="142"/>
      <c r="M289" s="142"/>
      <c r="N289" s="113"/>
      <c r="O289" s="147" t="e">
        <f t="shared" si="78"/>
        <v>#DIV/0!</v>
      </c>
      <c r="P289" s="139">
        <f t="shared" si="83"/>
        <v>0</v>
      </c>
      <c r="Q289" s="158">
        <f t="shared" si="84"/>
        <v>0</v>
      </c>
      <c r="R289" s="158">
        <f t="shared" si="85"/>
        <v>0</v>
      </c>
      <c r="S289" s="159" t="e">
        <f t="shared" si="86"/>
        <v>#DIV/0!</v>
      </c>
    </row>
    <row r="290" spans="3:19" s="37" customFormat="1" ht="58.5" customHeight="1">
      <c r="C290" s="33"/>
      <c r="D290" s="33"/>
      <c r="E290" s="33"/>
      <c r="F290" s="35" t="s">
        <v>574</v>
      </c>
      <c r="G290" s="142">
        <v>65.5</v>
      </c>
      <c r="H290" s="142">
        <v>65.5</v>
      </c>
      <c r="I290" s="138">
        <f t="shared" si="82"/>
        <v>100</v>
      </c>
      <c r="J290" s="142">
        <f t="shared" si="88"/>
        <v>0</v>
      </c>
      <c r="K290" s="146"/>
      <c r="L290" s="146"/>
      <c r="M290" s="146"/>
      <c r="N290" s="116"/>
      <c r="O290" s="147"/>
      <c r="P290" s="139">
        <f t="shared" si="83"/>
        <v>65.5</v>
      </c>
      <c r="Q290" s="158">
        <f t="shared" si="84"/>
        <v>65.5</v>
      </c>
      <c r="R290" s="158">
        <f t="shared" si="85"/>
        <v>0</v>
      </c>
      <c r="S290" s="159">
        <f t="shared" si="86"/>
        <v>100</v>
      </c>
    </row>
    <row r="291" spans="3:19" s="37" customFormat="1" ht="69" customHeight="1">
      <c r="C291" s="33"/>
      <c r="D291" s="33"/>
      <c r="E291" s="33"/>
      <c r="F291" s="35" t="s">
        <v>156</v>
      </c>
      <c r="G291" s="142">
        <v>21.4</v>
      </c>
      <c r="H291" s="142">
        <v>21.3</v>
      </c>
      <c r="I291" s="138">
        <f t="shared" si="82"/>
        <v>99.53271028037383</v>
      </c>
      <c r="J291" s="142">
        <v>43.2</v>
      </c>
      <c r="K291" s="146"/>
      <c r="L291" s="146">
        <v>42.5</v>
      </c>
      <c r="M291" s="146">
        <v>42.5</v>
      </c>
      <c r="N291" s="116"/>
      <c r="O291" s="147">
        <f t="shared" si="78"/>
        <v>98.37962962962963</v>
      </c>
      <c r="P291" s="139">
        <f t="shared" si="83"/>
        <v>64.6</v>
      </c>
      <c r="Q291" s="158">
        <f t="shared" si="84"/>
        <v>63.8</v>
      </c>
      <c r="R291" s="158">
        <f t="shared" si="85"/>
        <v>-0.7999999999999972</v>
      </c>
      <c r="S291" s="159">
        <f t="shared" si="86"/>
        <v>98.76160990712076</v>
      </c>
    </row>
    <row r="292" spans="3:19" s="37" customFormat="1" ht="66" customHeight="1">
      <c r="C292" s="33"/>
      <c r="D292" s="33"/>
      <c r="E292" s="33"/>
      <c r="F292" s="35" t="s">
        <v>130</v>
      </c>
      <c r="G292" s="142">
        <v>1035.8</v>
      </c>
      <c r="H292" s="142">
        <v>1035.5</v>
      </c>
      <c r="I292" s="138">
        <f t="shared" si="82"/>
        <v>99.9710368797065</v>
      </c>
      <c r="J292" s="142">
        <v>94.3</v>
      </c>
      <c r="K292" s="146"/>
      <c r="L292" s="142">
        <v>94.2</v>
      </c>
      <c r="M292" s="142">
        <v>94.2</v>
      </c>
      <c r="N292" s="113">
        <v>100</v>
      </c>
      <c r="O292" s="147">
        <f t="shared" si="78"/>
        <v>99.89395546129374</v>
      </c>
      <c r="P292" s="139">
        <f t="shared" si="83"/>
        <v>1130.1</v>
      </c>
      <c r="Q292" s="158">
        <f t="shared" si="84"/>
        <v>1129.7</v>
      </c>
      <c r="R292" s="158">
        <f t="shared" si="85"/>
        <v>-0.3999999999998636</v>
      </c>
      <c r="S292" s="159">
        <f t="shared" si="86"/>
        <v>99.96460490222105</v>
      </c>
    </row>
    <row r="293" spans="3:19" s="37" customFormat="1" ht="50.25" customHeight="1" hidden="1">
      <c r="C293" s="33"/>
      <c r="D293" s="33"/>
      <c r="E293" s="33"/>
      <c r="F293" s="94" t="s">
        <v>29</v>
      </c>
      <c r="G293" s="142"/>
      <c r="H293" s="146"/>
      <c r="I293" s="138" t="e">
        <f t="shared" si="82"/>
        <v>#DIV/0!</v>
      </c>
      <c r="J293" s="142">
        <f t="shared" si="88"/>
        <v>0</v>
      </c>
      <c r="K293" s="146"/>
      <c r="L293" s="146"/>
      <c r="M293" s="146"/>
      <c r="N293" s="113"/>
      <c r="O293" s="147" t="e">
        <f t="shared" si="78"/>
        <v>#DIV/0!</v>
      </c>
      <c r="P293" s="139">
        <f t="shared" si="83"/>
        <v>0</v>
      </c>
      <c r="Q293" s="158">
        <f t="shared" si="84"/>
        <v>0</v>
      </c>
      <c r="R293" s="158">
        <f t="shared" si="85"/>
        <v>0</v>
      </c>
      <c r="S293" s="159" t="e">
        <f t="shared" si="86"/>
        <v>#DIV/0!</v>
      </c>
    </row>
    <row r="294" spans="3:19" s="37" customFormat="1" ht="56.25">
      <c r="C294" s="33"/>
      <c r="D294" s="33"/>
      <c r="E294" s="33"/>
      <c r="F294" s="35" t="s">
        <v>131</v>
      </c>
      <c r="G294" s="142">
        <v>403.5</v>
      </c>
      <c r="H294" s="142">
        <v>403.4</v>
      </c>
      <c r="I294" s="138">
        <f t="shared" si="82"/>
        <v>99.97521685254027</v>
      </c>
      <c r="J294" s="142">
        <f t="shared" si="88"/>
        <v>0</v>
      </c>
      <c r="K294" s="146"/>
      <c r="L294" s="146"/>
      <c r="M294" s="146"/>
      <c r="N294" s="116"/>
      <c r="O294" s="147"/>
      <c r="P294" s="139">
        <f t="shared" si="83"/>
        <v>403.5</v>
      </c>
      <c r="Q294" s="158">
        <f t="shared" si="84"/>
        <v>403.4</v>
      </c>
      <c r="R294" s="158">
        <f t="shared" si="85"/>
        <v>-0.10000000000002274</v>
      </c>
      <c r="S294" s="159">
        <f t="shared" si="86"/>
        <v>99.97521685254027</v>
      </c>
    </row>
    <row r="295" spans="3:19" s="37" customFormat="1" ht="32.25" customHeight="1">
      <c r="C295" s="30" t="s">
        <v>518</v>
      </c>
      <c r="D295" s="30" t="s">
        <v>519</v>
      </c>
      <c r="E295" s="30" t="s">
        <v>100</v>
      </c>
      <c r="F295" s="41" t="s">
        <v>520</v>
      </c>
      <c r="G295" s="138">
        <f>G296</f>
        <v>8.1</v>
      </c>
      <c r="H295" s="138">
        <f aca="true" t="shared" si="89" ref="H295:N295">H296</f>
        <v>8.1</v>
      </c>
      <c r="I295" s="138">
        <f t="shared" si="82"/>
        <v>100</v>
      </c>
      <c r="J295" s="138">
        <f t="shared" si="88"/>
        <v>0</v>
      </c>
      <c r="K295" s="138">
        <f t="shared" si="89"/>
        <v>0</v>
      </c>
      <c r="L295" s="138">
        <f t="shared" si="89"/>
        <v>0</v>
      </c>
      <c r="M295" s="138">
        <f t="shared" si="89"/>
        <v>0</v>
      </c>
      <c r="N295" s="12">
        <f t="shared" si="89"/>
        <v>0</v>
      </c>
      <c r="O295" s="147"/>
      <c r="P295" s="139">
        <f t="shared" si="83"/>
        <v>8.1</v>
      </c>
      <c r="Q295" s="158">
        <f t="shared" si="84"/>
        <v>8.1</v>
      </c>
      <c r="R295" s="158">
        <f t="shared" si="85"/>
        <v>0</v>
      </c>
      <c r="S295" s="159">
        <f t="shared" si="86"/>
        <v>100</v>
      </c>
    </row>
    <row r="296" spans="3:19" s="37" customFormat="1" ht="48" customHeight="1">
      <c r="C296" s="33"/>
      <c r="D296" s="33"/>
      <c r="E296" s="33"/>
      <c r="F296" s="35" t="s">
        <v>521</v>
      </c>
      <c r="G296" s="142">
        <v>8.1</v>
      </c>
      <c r="H296" s="142">
        <v>8.1</v>
      </c>
      <c r="I296" s="138">
        <f t="shared" si="82"/>
        <v>100</v>
      </c>
      <c r="J296" s="142">
        <f t="shared" si="88"/>
        <v>0</v>
      </c>
      <c r="K296" s="146"/>
      <c r="L296" s="146"/>
      <c r="M296" s="146"/>
      <c r="N296" s="116"/>
      <c r="O296" s="147"/>
      <c r="P296" s="139">
        <f t="shared" si="83"/>
        <v>8.1</v>
      </c>
      <c r="Q296" s="158">
        <f t="shared" si="84"/>
        <v>8.1</v>
      </c>
      <c r="R296" s="158">
        <f t="shared" si="85"/>
        <v>0</v>
      </c>
      <c r="S296" s="159">
        <f t="shared" si="86"/>
        <v>100</v>
      </c>
    </row>
    <row r="297" spans="3:19" s="37" customFormat="1" ht="48" customHeight="1">
      <c r="C297" s="30" t="s">
        <v>522</v>
      </c>
      <c r="D297" s="30" t="s">
        <v>451</v>
      </c>
      <c r="E297" s="30" t="s">
        <v>147</v>
      </c>
      <c r="F297" s="41" t="s">
        <v>452</v>
      </c>
      <c r="G297" s="138">
        <f>G298</f>
        <v>438.3</v>
      </c>
      <c r="H297" s="138">
        <f>H298</f>
        <v>438.3</v>
      </c>
      <c r="I297" s="138">
        <f t="shared" si="82"/>
        <v>100</v>
      </c>
      <c r="J297" s="138">
        <f t="shared" si="88"/>
        <v>0</v>
      </c>
      <c r="K297" s="138">
        <f>K298</f>
        <v>0</v>
      </c>
      <c r="L297" s="138">
        <f>L298</f>
        <v>0</v>
      </c>
      <c r="M297" s="138">
        <f>M298</f>
        <v>0</v>
      </c>
      <c r="N297" s="12">
        <f>N298</f>
        <v>0</v>
      </c>
      <c r="O297" s="147"/>
      <c r="P297" s="139">
        <f t="shared" si="83"/>
        <v>438.3</v>
      </c>
      <c r="Q297" s="158">
        <f t="shared" si="84"/>
        <v>438.3</v>
      </c>
      <c r="R297" s="158">
        <f t="shared" si="85"/>
        <v>0</v>
      </c>
      <c r="S297" s="159">
        <f t="shared" si="86"/>
        <v>100</v>
      </c>
    </row>
    <row r="298" spans="3:19" s="37" customFormat="1" ht="69" customHeight="1">
      <c r="C298" s="33"/>
      <c r="D298" s="33"/>
      <c r="E298" s="33"/>
      <c r="F298" s="35" t="s">
        <v>131</v>
      </c>
      <c r="G298" s="142">
        <v>438.3</v>
      </c>
      <c r="H298" s="142">
        <v>438.3</v>
      </c>
      <c r="I298" s="138">
        <f t="shared" si="82"/>
        <v>100</v>
      </c>
      <c r="J298" s="142">
        <f t="shared" si="88"/>
        <v>0</v>
      </c>
      <c r="K298" s="146"/>
      <c r="L298" s="146"/>
      <c r="M298" s="146"/>
      <c r="N298" s="116"/>
      <c r="O298" s="147"/>
      <c r="P298" s="139">
        <f t="shared" si="83"/>
        <v>438.3</v>
      </c>
      <c r="Q298" s="158">
        <f t="shared" si="84"/>
        <v>438.3</v>
      </c>
      <c r="R298" s="158">
        <f t="shared" si="85"/>
        <v>0</v>
      </c>
      <c r="S298" s="159">
        <f t="shared" si="86"/>
        <v>100</v>
      </c>
    </row>
    <row r="299" spans="3:19" s="46" customFormat="1" ht="38.25" customHeight="1">
      <c r="C299" s="28"/>
      <c r="D299" s="28"/>
      <c r="E299" s="28"/>
      <c r="F299" s="44" t="s">
        <v>379</v>
      </c>
      <c r="G299" s="139">
        <f>G300+G305+G307+G309+G311+G313+G316+G322+G325+G328</f>
        <v>12378.1</v>
      </c>
      <c r="H299" s="139">
        <f>H300+H305+H307+H309+H311+H313+H316+H322+H325+H328</f>
        <v>12376.5</v>
      </c>
      <c r="I299" s="138">
        <f t="shared" si="82"/>
        <v>99.98707394511274</v>
      </c>
      <c r="J299" s="139">
        <f>J300+J305+J307+J309+J311+J313+J316+J322+J325+J328</f>
        <v>21456.599999999995</v>
      </c>
      <c r="K299" s="139">
        <f>K300+K305+K307+K309+K311+K313+K316+K322+K325+K328</f>
        <v>20</v>
      </c>
      <c r="L299" s="139">
        <f>L300+L305+L307+L309+L311+L313+L316+L322+L325+L328</f>
        <v>21454.2</v>
      </c>
      <c r="M299" s="139">
        <f>M300+M305+M307+M309+M311+M313+M316+M322+M325+M328</f>
        <v>21434.2</v>
      </c>
      <c r="N299" s="60" t="e">
        <f>#REF!+#REF!+#REF!</f>
        <v>#REF!</v>
      </c>
      <c r="O299" s="147">
        <f t="shared" si="78"/>
        <v>99.98881463046338</v>
      </c>
      <c r="P299" s="139">
        <f t="shared" si="83"/>
        <v>33834.7</v>
      </c>
      <c r="Q299" s="158">
        <f t="shared" si="84"/>
        <v>33830.7</v>
      </c>
      <c r="R299" s="158">
        <f t="shared" si="85"/>
        <v>-4</v>
      </c>
      <c r="S299" s="159">
        <f t="shared" si="86"/>
        <v>99.98817781744776</v>
      </c>
    </row>
    <row r="300" spans="1:19" s="6" customFormat="1" ht="53.25" customHeight="1">
      <c r="A300" s="46">
        <v>8</v>
      </c>
      <c r="B300" s="6">
        <v>41</v>
      </c>
      <c r="C300" s="30" t="s">
        <v>506</v>
      </c>
      <c r="D300" s="30" t="s">
        <v>116</v>
      </c>
      <c r="E300" s="30" t="s">
        <v>192</v>
      </c>
      <c r="F300" s="41" t="s">
        <v>336</v>
      </c>
      <c r="G300" s="138">
        <f>SUM(G301:G304)</f>
        <v>0</v>
      </c>
      <c r="H300" s="138">
        <f>SUM(H301:H304)</f>
        <v>0</v>
      </c>
      <c r="I300" s="161" t="e">
        <f t="shared" si="82"/>
        <v>#DIV/0!</v>
      </c>
      <c r="J300" s="138">
        <f>J301+J302</f>
        <v>14120.3</v>
      </c>
      <c r="K300" s="138">
        <f>K301+K302</f>
        <v>0</v>
      </c>
      <c r="L300" s="138">
        <f>L301+L302</f>
        <v>14119.5</v>
      </c>
      <c r="M300" s="138">
        <f>M301+M302</f>
        <v>14119.5</v>
      </c>
      <c r="N300" s="112">
        <f>SUM(N301:N304)</f>
        <v>9068</v>
      </c>
      <c r="O300" s="147">
        <f t="shared" si="78"/>
        <v>99.99433439799438</v>
      </c>
      <c r="P300" s="139">
        <f t="shared" si="83"/>
        <v>14120.3</v>
      </c>
      <c r="Q300" s="158">
        <f t="shared" si="84"/>
        <v>14119.5</v>
      </c>
      <c r="R300" s="158">
        <f t="shared" si="85"/>
        <v>-0.7999999999992724</v>
      </c>
      <c r="S300" s="159">
        <f t="shared" si="86"/>
        <v>99.99433439799438</v>
      </c>
    </row>
    <row r="301" spans="3:19" s="37" customFormat="1" ht="84.75" customHeight="1">
      <c r="C301" s="33"/>
      <c r="D301" s="33"/>
      <c r="E301" s="33"/>
      <c r="F301" s="35" t="s">
        <v>149</v>
      </c>
      <c r="G301" s="142"/>
      <c r="H301" s="142"/>
      <c r="I301" s="161" t="e">
        <f t="shared" si="82"/>
        <v>#DIV/0!</v>
      </c>
      <c r="J301" s="142">
        <v>12907</v>
      </c>
      <c r="K301" s="142"/>
      <c r="L301" s="142">
        <v>12906.2</v>
      </c>
      <c r="M301" s="142">
        <v>12906.2</v>
      </c>
      <c r="N301" s="113">
        <v>7868</v>
      </c>
      <c r="O301" s="147">
        <f t="shared" si="78"/>
        <v>99.9938018129697</v>
      </c>
      <c r="P301" s="139">
        <f t="shared" si="83"/>
        <v>12907</v>
      </c>
      <c r="Q301" s="158">
        <f t="shared" si="84"/>
        <v>12906.2</v>
      </c>
      <c r="R301" s="158">
        <f t="shared" si="85"/>
        <v>-0.7999999999992724</v>
      </c>
      <c r="S301" s="159">
        <f t="shared" si="86"/>
        <v>99.9938018129697</v>
      </c>
    </row>
    <row r="302" spans="1:19" s="76" customFormat="1" ht="48" customHeight="1">
      <c r="A302" s="37"/>
      <c r="B302" s="37"/>
      <c r="C302" s="33"/>
      <c r="D302" s="33"/>
      <c r="E302" s="33"/>
      <c r="F302" s="48" t="s">
        <v>39</v>
      </c>
      <c r="G302" s="142"/>
      <c r="H302" s="142"/>
      <c r="I302" s="161" t="e">
        <f t="shared" si="82"/>
        <v>#DIV/0!</v>
      </c>
      <c r="J302" s="142">
        <v>1213.3</v>
      </c>
      <c r="K302" s="142"/>
      <c r="L302" s="142">
        <v>1213.3</v>
      </c>
      <c r="M302" s="142">
        <v>1213.3</v>
      </c>
      <c r="N302" s="113">
        <v>1200</v>
      </c>
      <c r="O302" s="147">
        <f t="shared" si="78"/>
        <v>100</v>
      </c>
      <c r="P302" s="139">
        <f t="shared" si="83"/>
        <v>1213.3</v>
      </c>
      <c r="Q302" s="158">
        <f t="shared" si="84"/>
        <v>1213.3</v>
      </c>
      <c r="R302" s="158">
        <f t="shared" si="85"/>
        <v>0</v>
      </c>
      <c r="S302" s="159">
        <f t="shared" si="86"/>
        <v>100</v>
      </c>
    </row>
    <row r="303" spans="3:19" s="37" customFormat="1" ht="88.5" customHeight="1" hidden="1">
      <c r="C303" s="33"/>
      <c r="D303" s="33"/>
      <c r="E303" s="33"/>
      <c r="F303" s="35" t="s">
        <v>14</v>
      </c>
      <c r="G303" s="142"/>
      <c r="H303" s="142"/>
      <c r="I303" s="161" t="e">
        <f t="shared" si="82"/>
        <v>#DIV/0!</v>
      </c>
      <c r="J303" s="142">
        <f>K303+N303</f>
        <v>0</v>
      </c>
      <c r="K303" s="142"/>
      <c r="L303" s="142"/>
      <c r="M303" s="142"/>
      <c r="N303" s="113"/>
      <c r="O303" s="147" t="e">
        <f t="shared" si="78"/>
        <v>#DIV/0!</v>
      </c>
      <c r="P303" s="139">
        <f aca="true" t="shared" si="90" ref="P303:P310">G303+J303</f>
        <v>0</v>
      </c>
      <c r="Q303" s="158">
        <f aca="true" t="shared" si="91" ref="Q303:Q310">H303+L303</f>
        <v>0</v>
      </c>
      <c r="R303" s="158">
        <f aca="true" t="shared" si="92" ref="R303:R310">Q303-P303</f>
        <v>0</v>
      </c>
      <c r="S303" s="159" t="e">
        <f aca="true" t="shared" si="93" ref="S303:S310">Q303/P303*100</f>
        <v>#DIV/0!</v>
      </c>
    </row>
    <row r="304" spans="3:19" s="37" customFormat="1" ht="42" customHeight="1" hidden="1">
      <c r="C304" s="33"/>
      <c r="D304" s="33"/>
      <c r="E304" s="33"/>
      <c r="F304" s="35" t="s">
        <v>38</v>
      </c>
      <c r="G304" s="142"/>
      <c r="H304" s="142"/>
      <c r="I304" s="161" t="e">
        <f t="shared" si="82"/>
        <v>#DIV/0!</v>
      </c>
      <c r="J304" s="142">
        <f>K304+N304</f>
        <v>0</v>
      </c>
      <c r="K304" s="142"/>
      <c r="L304" s="142"/>
      <c r="M304" s="142"/>
      <c r="N304" s="113"/>
      <c r="O304" s="147" t="e">
        <f t="shared" si="78"/>
        <v>#DIV/0!</v>
      </c>
      <c r="P304" s="139">
        <f t="shared" si="90"/>
        <v>0</v>
      </c>
      <c r="Q304" s="158">
        <f t="shared" si="91"/>
        <v>0</v>
      </c>
      <c r="R304" s="158">
        <f t="shared" si="92"/>
        <v>0</v>
      </c>
      <c r="S304" s="159" t="e">
        <f t="shared" si="93"/>
        <v>#DIV/0!</v>
      </c>
    </row>
    <row r="305" spans="2:19" s="37" customFormat="1" ht="18.75">
      <c r="B305" s="37">
        <v>73</v>
      </c>
      <c r="C305" s="30" t="s">
        <v>538</v>
      </c>
      <c r="D305" s="30" t="s">
        <v>334</v>
      </c>
      <c r="E305" s="30" t="s">
        <v>192</v>
      </c>
      <c r="F305" s="35" t="s">
        <v>335</v>
      </c>
      <c r="G305" s="142">
        <f>G306</f>
        <v>0</v>
      </c>
      <c r="H305" s="142">
        <f>H306</f>
        <v>0</v>
      </c>
      <c r="I305" s="161" t="e">
        <f t="shared" si="82"/>
        <v>#DIV/0!</v>
      </c>
      <c r="J305" s="142">
        <f>J306</f>
        <v>573.3</v>
      </c>
      <c r="K305" s="142">
        <f>K306</f>
        <v>0</v>
      </c>
      <c r="L305" s="142">
        <f>L306</f>
        <v>572.1</v>
      </c>
      <c r="M305" s="142">
        <f>M306</f>
        <v>572.1</v>
      </c>
      <c r="N305" s="142">
        <f>N306</f>
        <v>0</v>
      </c>
      <c r="O305" s="147">
        <f t="shared" si="78"/>
        <v>99.79068550497124</v>
      </c>
      <c r="P305" s="139">
        <f t="shared" si="90"/>
        <v>573.3</v>
      </c>
      <c r="Q305" s="158">
        <f t="shared" si="91"/>
        <v>572.1</v>
      </c>
      <c r="R305" s="158">
        <f t="shared" si="92"/>
        <v>-1.1999999999999318</v>
      </c>
      <c r="S305" s="159">
        <f t="shared" si="93"/>
        <v>99.79068550497124</v>
      </c>
    </row>
    <row r="306" spans="3:19" s="6" customFormat="1" ht="75">
      <c r="C306" s="30"/>
      <c r="D306" s="30"/>
      <c r="E306" s="30"/>
      <c r="F306" s="87" t="s">
        <v>136</v>
      </c>
      <c r="G306" s="143"/>
      <c r="H306" s="143"/>
      <c r="I306" s="161" t="e">
        <f t="shared" si="82"/>
        <v>#DIV/0!</v>
      </c>
      <c r="J306" s="142">
        <v>573.3</v>
      </c>
      <c r="K306" s="143"/>
      <c r="L306" s="143">
        <v>572.1</v>
      </c>
      <c r="M306" s="143">
        <v>572.1</v>
      </c>
      <c r="N306" s="112"/>
      <c r="O306" s="147">
        <f t="shared" si="78"/>
        <v>99.79068550497124</v>
      </c>
      <c r="P306" s="139">
        <f t="shared" si="90"/>
        <v>573.3</v>
      </c>
      <c r="Q306" s="158">
        <f t="shared" si="91"/>
        <v>572.1</v>
      </c>
      <c r="R306" s="158">
        <f t="shared" si="92"/>
        <v>-1.1999999999999318</v>
      </c>
      <c r="S306" s="159">
        <f t="shared" si="93"/>
        <v>99.79068550497124</v>
      </c>
    </row>
    <row r="307" spans="3:19" s="168" customFormat="1" ht="18.75">
      <c r="C307" s="170" t="s">
        <v>613</v>
      </c>
      <c r="D307" s="170" t="s">
        <v>612</v>
      </c>
      <c r="E307" s="170" t="s">
        <v>192</v>
      </c>
      <c r="F307" s="35" t="s">
        <v>335</v>
      </c>
      <c r="G307" s="143"/>
      <c r="H307" s="143"/>
      <c r="I307" s="161"/>
      <c r="J307" s="142">
        <f>J308</f>
        <v>428.8</v>
      </c>
      <c r="K307" s="142">
        <f>K308</f>
        <v>0</v>
      </c>
      <c r="L307" s="142">
        <f>L308</f>
        <v>428.7</v>
      </c>
      <c r="M307" s="142">
        <f>M308</f>
        <v>428.7</v>
      </c>
      <c r="N307" s="167">
        <f>N308</f>
        <v>0</v>
      </c>
      <c r="O307" s="147">
        <f t="shared" si="78"/>
        <v>99.97667910447761</v>
      </c>
      <c r="P307" s="139">
        <f t="shared" si="90"/>
        <v>428.8</v>
      </c>
      <c r="Q307" s="158">
        <f t="shared" si="91"/>
        <v>428.7</v>
      </c>
      <c r="R307" s="158">
        <f t="shared" si="92"/>
        <v>-0.10000000000002274</v>
      </c>
      <c r="S307" s="159">
        <f t="shared" si="93"/>
        <v>99.97667910447761</v>
      </c>
    </row>
    <row r="308" spans="3:19" s="168" customFormat="1" ht="75">
      <c r="C308" s="170"/>
      <c r="D308" s="170"/>
      <c r="E308" s="170"/>
      <c r="F308" s="87" t="s">
        <v>136</v>
      </c>
      <c r="G308" s="143"/>
      <c r="H308" s="143"/>
      <c r="I308" s="161"/>
      <c r="J308" s="142">
        <v>428.8</v>
      </c>
      <c r="K308" s="143"/>
      <c r="L308" s="143">
        <v>428.7</v>
      </c>
      <c r="M308" s="143">
        <v>428.7</v>
      </c>
      <c r="N308" s="169"/>
      <c r="O308" s="147">
        <f t="shared" si="78"/>
        <v>99.97667910447761</v>
      </c>
      <c r="P308" s="139">
        <f t="shared" si="90"/>
        <v>428.8</v>
      </c>
      <c r="Q308" s="158">
        <f t="shared" si="91"/>
        <v>428.7</v>
      </c>
      <c r="R308" s="158">
        <f t="shared" si="92"/>
        <v>-0.10000000000002274</v>
      </c>
      <c r="S308" s="159">
        <f t="shared" si="93"/>
        <v>99.97667910447761</v>
      </c>
    </row>
    <row r="309" spans="3:19" s="6" customFormat="1" ht="51" customHeight="1">
      <c r="C309" s="30" t="s">
        <v>548</v>
      </c>
      <c r="D309" s="30" t="s">
        <v>549</v>
      </c>
      <c r="E309" s="30" t="s">
        <v>192</v>
      </c>
      <c r="F309" s="41" t="s">
        <v>550</v>
      </c>
      <c r="G309" s="138">
        <f>G310</f>
        <v>0</v>
      </c>
      <c r="H309" s="138">
        <f>H310</f>
        <v>0</v>
      </c>
      <c r="I309" s="161" t="e">
        <f t="shared" si="82"/>
        <v>#DIV/0!</v>
      </c>
      <c r="J309" s="138">
        <f>J310</f>
        <v>604</v>
      </c>
      <c r="K309" s="138">
        <f>K310</f>
        <v>0</v>
      </c>
      <c r="L309" s="138">
        <f>L310</f>
        <v>604</v>
      </c>
      <c r="M309" s="138">
        <f>M310</f>
        <v>604</v>
      </c>
      <c r="N309" s="12">
        <f>N310</f>
        <v>2375</v>
      </c>
      <c r="O309" s="147">
        <f t="shared" si="78"/>
        <v>100</v>
      </c>
      <c r="P309" s="139">
        <f t="shared" si="90"/>
        <v>604</v>
      </c>
      <c r="Q309" s="158">
        <f t="shared" si="91"/>
        <v>604</v>
      </c>
      <c r="R309" s="158">
        <f t="shared" si="92"/>
        <v>0</v>
      </c>
      <c r="S309" s="159">
        <f t="shared" si="93"/>
        <v>100</v>
      </c>
    </row>
    <row r="310" spans="3:19" s="6" customFormat="1" ht="81" customHeight="1">
      <c r="C310" s="33"/>
      <c r="D310" s="33"/>
      <c r="E310" s="33"/>
      <c r="F310" s="35" t="s">
        <v>136</v>
      </c>
      <c r="G310" s="143"/>
      <c r="H310" s="143"/>
      <c r="I310" s="161" t="e">
        <f t="shared" si="82"/>
        <v>#DIV/0!</v>
      </c>
      <c r="J310" s="142">
        <v>604</v>
      </c>
      <c r="K310" s="143"/>
      <c r="L310" s="143">
        <v>604</v>
      </c>
      <c r="M310" s="143">
        <v>604</v>
      </c>
      <c r="N310" s="112">
        <v>2375</v>
      </c>
      <c r="O310" s="147">
        <f aca="true" t="shared" si="94" ref="O310:O362">L310/J310*100</f>
        <v>100</v>
      </c>
      <c r="P310" s="139">
        <f t="shared" si="90"/>
        <v>604</v>
      </c>
      <c r="Q310" s="158">
        <f t="shared" si="91"/>
        <v>604</v>
      </c>
      <c r="R310" s="158">
        <f t="shared" si="92"/>
        <v>0</v>
      </c>
      <c r="S310" s="159">
        <f t="shared" si="93"/>
        <v>100</v>
      </c>
    </row>
    <row r="311" spans="3:19" s="6" customFormat="1" ht="57.75" customHeight="1">
      <c r="C311" s="33" t="s">
        <v>551</v>
      </c>
      <c r="D311" s="33" t="s">
        <v>552</v>
      </c>
      <c r="E311" s="33" t="s">
        <v>62</v>
      </c>
      <c r="F311" s="87" t="s">
        <v>553</v>
      </c>
      <c r="G311" s="142">
        <f>G312</f>
        <v>0</v>
      </c>
      <c r="H311" s="142">
        <f>H312</f>
        <v>0</v>
      </c>
      <c r="I311" s="161" t="e">
        <f t="shared" si="82"/>
        <v>#DIV/0!</v>
      </c>
      <c r="J311" s="142">
        <f>J312</f>
        <v>3.4</v>
      </c>
      <c r="K311" s="142">
        <f>K312</f>
        <v>0</v>
      </c>
      <c r="L311" s="142">
        <f>L312</f>
        <v>3.2</v>
      </c>
      <c r="M311" s="142">
        <f>M312</f>
        <v>3.2</v>
      </c>
      <c r="N311" s="36">
        <f>N312+N313</f>
        <v>1879.3988</v>
      </c>
      <c r="O311" s="147">
        <f t="shared" si="94"/>
        <v>94.11764705882354</v>
      </c>
      <c r="P311" s="139">
        <f t="shared" si="83"/>
        <v>3.4</v>
      </c>
      <c r="Q311" s="158">
        <f t="shared" si="84"/>
        <v>3.2</v>
      </c>
      <c r="R311" s="158">
        <f t="shared" si="85"/>
        <v>-0.19999999999999973</v>
      </c>
      <c r="S311" s="159">
        <f t="shared" si="86"/>
        <v>94.11764705882354</v>
      </c>
    </row>
    <row r="312" spans="3:19" s="37" customFormat="1" ht="88.5" customHeight="1">
      <c r="C312" s="33"/>
      <c r="D312" s="33"/>
      <c r="E312" s="33"/>
      <c r="F312" s="87" t="s">
        <v>136</v>
      </c>
      <c r="G312" s="146"/>
      <c r="H312" s="146"/>
      <c r="I312" s="161" t="e">
        <f t="shared" si="82"/>
        <v>#DIV/0!</v>
      </c>
      <c r="J312" s="142">
        <v>3.4</v>
      </c>
      <c r="K312" s="146"/>
      <c r="L312" s="146">
        <v>3.2</v>
      </c>
      <c r="M312" s="146">
        <v>3.2</v>
      </c>
      <c r="N312" s="123">
        <v>1879.3988</v>
      </c>
      <c r="O312" s="147">
        <f t="shared" si="94"/>
        <v>94.11764705882354</v>
      </c>
      <c r="P312" s="139">
        <f t="shared" si="83"/>
        <v>3.4</v>
      </c>
      <c r="Q312" s="158">
        <f t="shared" si="84"/>
        <v>3.2</v>
      </c>
      <c r="R312" s="158">
        <f t="shared" si="85"/>
        <v>-0.19999999999999973</v>
      </c>
      <c r="S312" s="159">
        <f t="shared" si="86"/>
        <v>94.11764705882354</v>
      </c>
    </row>
    <row r="313" spans="3:19" s="37" customFormat="1" ht="75">
      <c r="C313" s="33" t="s">
        <v>556</v>
      </c>
      <c r="D313" s="33" t="s">
        <v>557</v>
      </c>
      <c r="E313" s="33" t="s">
        <v>62</v>
      </c>
      <c r="F313" s="160" t="s">
        <v>558</v>
      </c>
      <c r="G313" s="142">
        <f>G314+G315</f>
        <v>418.7</v>
      </c>
      <c r="H313" s="142">
        <f aca="true" t="shared" si="95" ref="H313:N313">H314+H315</f>
        <v>418.6</v>
      </c>
      <c r="I313" s="138">
        <f t="shared" si="82"/>
        <v>99.97611655123</v>
      </c>
      <c r="J313" s="142">
        <f t="shared" si="95"/>
        <v>5498.1</v>
      </c>
      <c r="K313" s="164">
        <f t="shared" si="95"/>
        <v>0</v>
      </c>
      <c r="L313" s="142">
        <f>L314+L315</f>
        <v>5498.1</v>
      </c>
      <c r="M313" s="142">
        <f t="shared" si="95"/>
        <v>5498.1</v>
      </c>
      <c r="N313" s="164">
        <f t="shared" si="95"/>
        <v>0</v>
      </c>
      <c r="O313" s="147">
        <f t="shared" si="94"/>
        <v>100</v>
      </c>
      <c r="P313" s="139">
        <f aca="true" t="shared" si="96" ref="P313:P318">G313+J313</f>
        <v>5916.8</v>
      </c>
      <c r="Q313" s="158">
        <f t="shared" si="84"/>
        <v>5916.700000000001</v>
      </c>
      <c r="R313" s="158">
        <f t="shared" si="85"/>
        <v>-0.0999999999994543</v>
      </c>
      <c r="S313" s="159">
        <f t="shared" si="86"/>
        <v>99.99830989724177</v>
      </c>
    </row>
    <row r="314" spans="3:19" s="37" customFormat="1" ht="87.75" customHeight="1">
      <c r="C314" s="33"/>
      <c r="D314" s="33"/>
      <c r="E314" s="33"/>
      <c r="F314" s="173" t="s">
        <v>620</v>
      </c>
      <c r="G314" s="142">
        <v>418.7</v>
      </c>
      <c r="H314" s="142">
        <v>418.6</v>
      </c>
      <c r="I314" s="138">
        <f t="shared" si="82"/>
        <v>99.97611655123</v>
      </c>
      <c r="J314" s="142">
        <v>3768.2</v>
      </c>
      <c r="K314" s="146"/>
      <c r="L314" s="146">
        <v>3768.2</v>
      </c>
      <c r="M314" s="146">
        <v>3768.2</v>
      </c>
      <c r="N314" s="123"/>
      <c r="O314" s="147">
        <f t="shared" si="94"/>
        <v>100</v>
      </c>
      <c r="P314" s="139">
        <f t="shared" si="96"/>
        <v>4186.9</v>
      </c>
      <c r="Q314" s="158">
        <f>H314+L314</f>
        <v>4186.8</v>
      </c>
      <c r="R314" s="158">
        <f>Q314-P314</f>
        <v>-0.0999999999994543</v>
      </c>
      <c r="S314" s="159">
        <f>Q314/P314*100</f>
        <v>99.99761159807974</v>
      </c>
    </row>
    <row r="315" spans="3:19" s="37" customFormat="1" ht="65.25" customHeight="1">
      <c r="C315" s="33"/>
      <c r="D315" s="33"/>
      <c r="E315" s="33"/>
      <c r="F315" s="173" t="s">
        <v>621</v>
      </c>
      <c r="G315" s="142"/>
      <c r="H315" s="142"/>
      <c r="I315" s="138"/>
      <c r="J315" s="142">
        <v>1729.9</v>
      </c>
      <c r="K315" s="146"/>
      <c r="L315" s="146">
        <v>1729.9</v>
      </c>
      <c r="M315" s="146">
        <v>1729.9</v>
      </c>
      <c r="N315" s="123"/>
      <c r="O315" s="147">
        <f t="shared" si="94"/>
        <v>100</v>
      </c>
      <c r="P315" s="139">
        <f t="shared" si="96"/>
        <v>1729.9</v>
      </c>
      <c r="Q315" s="158">
        <f>H315+L315</f>
        <v>1729.9</v>
      </c>
      <c r="R315" s="158">
        <f>Q315-P315</f>
        <v>0</v>
      </c>
      <c r="S315" s="159">
        <f>Q315/P315*100</f>
        <v>100</v>
      </c>
    </row>
    <row r="316" spans="1:19" s="6" customFormat="1" ht="48.75" customHeight="1">
      <c r="A316" s="46">
        <v>6</v>
      </c>
      <c r="B316" s="6">
        <v>43</v>
      </c>
      <c r="C316" s="30" t="s">
        <v>539</v>
      </c>
      <c r="D316" s="30" t="s">
        <v>444</v>
      </c>
      <c r="E316" s="30" t="s">
        <v>62</v>
      </c>
      <c r="F316" s="40" t="s">
        <v>337</v>
      </c>
      <c r="G316" s="147">
        <f aca="true" t="shared" si="97" ref="G316:N316">SUM(G317:G321)</f>
        <v>425.4</v>
      </c>
      <c r="H316" s="147">
        <f t="shared" si="97"/>
        <v>425.3</v>
      </c>
      <c r="I316" s="138">
        <f t="shared" si="82"/>
        <v>99.97649271274096</v>
      </c>
      <c r="J316" s="138">
        <f>J317</f>
        <v>39.6</v>
      </c>
      <c r="K316" s="147">
        <f t="shared" si="97"/>
        <v>0</v>
      </c>
      <c r="L316" s="147">
        <f t="shared" si="97"/>
        <v>39.6</v>
      </c>
      <c r="M316" s="147">
        <f t="shared" si="97"/>
        <v>39.6</v>
      </c>
      <c r="N316" s="121">
        <f t="shared" si="97"/>
        <v>0</v>
      </c>
      <c r="O316" s="147">
        <f t="shared" si="94"/>
        <v>100</v>
      </c>
      <c r="P316" s="139">
        <f t="shared" si="96"/>
        <v>465</v>
      </c>
      <c r="Q316" s="158">
        <f>H316+L316</f>
        <v>464.90000000000003</v>
      </c>
      <c r="R316" s="158">
        <f>Q316-P316</f>
        <v>-0.0999999999999659</v>
      </c>
      <c r="S316" s="159">
        <f>Q316/P316*100</f>
        <v>99.97849462365592</v>
      </c>
    </row>
    <row r="317" spans="3:19" s="37" customFormat="1" ht="64.5" customHeight="1">
      <c r="C317" s="33"/>
      <c r="D317" s="33"/>
      <c r="E317" s="33"/>
      <c r="F317" s="47" t="s">
        <v>134</v>
      </c>
      <c r="G317" s="142">
        <v>408</v>
      </c>
      <c r="H317" s="142">
        <v>408</v>
      </c>
      <c r="I317" s="138">
        <f t="shared" si="82"/>
        <v>100</v>
      </c>
      <c r="J317" s="142">
        <v>39.6</v>
      </c>
      <c r="K317" s="150"/>
      <c r="L317" s="142">
        <v>39.6</v>
      </c>
      <c r="M317" s="142">
        <v>39.6</v>
      </c>
      <c r="N317" s="113"/>
      <c r="O317" s="147">
        <f t="shared" si="94"/>
        <v>100</v>
      </c>
      <c r="P317" s="139">
        <f t="shared" si="96"/>
        <v>447.6</v>
      </c>
      <c r="Q317" s="158">
        <f>H317+L317</f>
        <v>447.6</v>
      </c>
      <c r="R317" s="158">
        <f>Q317-P317</f>
        <v>0</v>
      </c>
      <c r="S317" s="159">
        <f>Q317/P317*100</f>
        <v>100</v>
      </c>
    </row>
    <row r="318" spans="3:19" s="37" customFormat="1" ht="56.25" customHeight="1" hidden="1">
      <c r="C318" s="33"/>
      <c r="D318" s="33"/>
      <c r="E318" s="33"/>
      <c r="F318" s="47" t="s">
        <v>135</v>
      </c>
      <c r="G318" s="142"/>
      <c r="H318" s="142"/>
      <c r="I318" s="138" t="e">
        <f t="shared" si="82"/>
        <v>#DIV/0!</v>
      </c>
      <c r="J318" s="142">
        <f>K318+N318</f>
        <v>0</v>
      </c>
      <c r="K318" s="142"/>
      <c r="L318" s="142"/>
      <c r="M318" s="142"/>
      <c r="N318" s="113"/>
      <c r="O318" s="147" t="e">
        <f t="shared" si="94"/>
        <v>#DIV/0!</v>
      </c>
      <c r="P318" s="139">
        <f t="shared" si="96"/>
        <v>0</v>
      </c>
      <c r="Q318" s="158">
        <f>H318+L318</f>
        <v>0</v>
      </c>
      <c r="R318" s="158">
        <f>Q318-P318</f>
        <v>0</v>
      </c>
      <c r="S318" s="159" t="e">
        <f>Q318/P318*100</f>
        <v>#DIV/0!</v>
      </c>
    </row>
    <row r="319" spans="3:19" s="37" customFormat="1" ht="62.25" customHeight="1">
      <c r="C319" s="33"/>
      <c r="D319" s="33"/>
      <c r="E319" s="33"/>
      <c r="F319" s="47" t="s">
        <v>35</v>
      </c>
      <c r="G319" s="142">
        <v>16.9</v>
      </c>
      <c r="H319" s="142">
        <v>16.8</v>
      </c>
      <c r="I319" s="138">
        <f t="shared" si="82"/>
        <v>99.40828402366864</v>
      </c>
      <c r="J319" s="142">
        <f>K319+N319</f>
        <v>0</v>
      </c>
      <c r="K319" s="142"/>
      <c r="L319" s="142"/>
      <c r="M319" s="142"/>
      <c r="N319" s="113"/>
      <c r="O319" s="147"/>
      <c r="P319" s="139">
        <f t="shared" si="83"/>
        <v>16.9</v>
      </c>
      <c r="Q319" s="158">
        <f t="shared" si="84"/>
        <v>16.8</v>
      </c>
      <c r="R319" s="158">
        <f t="shared" si="85"/>
        <v>-0.09999999999999787</v>
      </c>
      <c r="S319" s="159">
        <f t="shared" si="86"/>
        <v>99.40828402366864</v>
      </c>
    </row>
    <row r="320" spans="3:19" s="37" customFormat="1" ht="60" customHeight="1">
      <c r="C320" s="33"/>
      <c r="D320" s="33"/>
      <c r="E320" s="33"/>
      <c r="F320" s="47" t="s">
        <v>559</v>
      </c>
      <c r="G320" s="142">
        <v>0.5</v>
      </c>
      <c r="H320" s="142">
        <v>0.5</v>
      </c>
      <c r="I320" s="138">
        <f t="shared" si="82"/>
        <v>100</v>
      </c>
      <c r="J320" s="142">
        <f>K320+N320</f>
        <v>0</v>
      </c>
      <c r="K320" s="142"/>
      <c r="L320" s="142"/>
      <c r="M320" s="142"/>
      <c r="N320" s="113"/>
      <c r="O320" s="147"/>
      <c r="P320" s="139">
        <f t="shared" si="83"/>
        <v>0.5</v>
      </c>
      <c r="Q320" s="158">
        <f t="shared" si="84"/>
        <v>0.5</v>
      </c>
      <c r="R320" s="158">
        <f t="shared" si="85"/>
        <v>0</v>
      </c>
      <c r="S320" s="159">
        <f t="shared" si="86"/>
        <v>100</v>
      </c>
    </row>
    <row r="321" spans="3:19" s="6" customFormat="1" ht="64.5" customHeight="1" hidden="1">
      <c r="C321" s="30"/>
      <c r="D321" s="30"/>
      <c r="E321" s="30"/>
      <c r="F321" s="47" t="s">
        <v>131</v>
      </c>
      <c r="G321" s="138"/>
      <c r="H321" s="138"/>
      <c r="I321" s="161" t="e">
        <f t="shared" si="82"/>
        <v>#DIV/0!</v>
      </c>
      <c r="J321" s="138">
        <f>K321+N321</f>
        <v>0</v>
      </c>
      <c r="K321" s="151"/>
      <c r="L321" s="138"/>
      <c r="M321" s="138"/>
      <c r="N321" s="113"/>
      <c r="O321" s="147"/>
      <c r="P321" s="139">
        <f t="shared" si="83"/>
        <v>0</v>
      </c>
      <c r="Q321" s="158">
        <f t="shared" si="84"/>
        <v>0</v>
      </c>
      <c r="R321" s="158">
        <f t="shared" si="85"/>
        <v>0</v>
      </c>
      <c r="S321" s="159" t="e">
        <f t="shared" si="86"/>
        <v>#DIV/0!</v>
      </c>
    </row>
    <row r="322" spans="1:19" s="6" customFormat="1" ht="66.75" customHeight="1">
      <c r="A322" s="46"/>
      <c r="C322" s="33" t="s">
        <v>540</v>
      </c>
      <c r="D322" s="33" t="s">
        <v>446</v>
      </c>
      <c r="E322" s="33" t="s">
        <v>102</v>
      </c>
      <c r="F322" s="35" t="s">
        <v>445</v>
      </c>
      <c r="G322" s="142">
        <f>SUM(G323:G324)</f>
        <v>1734.9</v>
      </c>
      <c r="H322" s="142">
        <f aca="true" t="shared" si="98" ref="H322:N322">SUM(H323:H324)</f>
        <v>1734.5</v>
      </c>
      <c r="I322" s="138">
        <f t="shared" si="82"/>
        <v>99.97694391607584</v>
      </c>
      <c r="J322" s="142">
        <f>J323</f>
        <v>169.1</v>
      </c>
      <c r="K322" s="142">
        <f t="shared" si="98"/>
        <v>0</v>
      </c>
      <c r="L322" s="142">
        <f t="shared" si="98"/>
        <v>169</v>
      </c>
      <c r="M322" s="142">
        <f t="shared" si="98"/>
        <v>169</v>
      </c>
      <c r="N322" s="113">
        <f t="shared" si="98"/>
        <v>0</v>
      </c>
      <c r="O322" s="147">
        <f t="shared" si="94"/>
        <v>99.94086339444117</v>
      </c>
      <c r="P322" s="139">
        <f t="shared" si="83"/>
        <v>1904</v>
      </c>
      <c r="Q322" s="158">
        <f t="shared" si="84"/>
        <v>1903.5</v>
      </c>
      <c r="R322" s="158">
        <f t="shared" si="85"/>
        <v>-0.5</v>
      </c>
      <c r="S322" s="159">
        <f t="shared" si="86"/>
        <v>99.97373949579831</v>
      </c>
    </row>
    <row r="323" spans="1:19" s="37" customFormat="1" ht="66.75" customHeight="1">
      <c r="A323" s="70"/>
      <c r="C323" s="33"/>
      <c r="D323" s="33"/>
      <c r="E323" s="33"/>
      <c r="F323" s="35" t="s">
        <v>590</v>
      </c>
      <c r="G323" s="142">
        <v>1734.9</v>
      </c>
      <c r="H323" s="142">
        <v>1734.5</v>
      </c>
      <c r="I323" s="138">
        <f t="shared" si="82"/>
        <v>99.97694391607584</v>
      </c>
      <c r="J323" s="142">
        <v>169.1</v>
      </c>
      <c r="K323" s="142"/>
      <c r="L323" s="142">
        <v>169</v>
      </c>
      <c r="M323" s="142">
        <v>169</v>
      </c>
      <c r="N323" s="113"/>
      <c r="O323" s="147">
        <f t="shared" si="94"/>
        <v>99.94086339444117</v>
      </c>
      <c r="P323" s="139">
        <f t="shared" si="83"/>
        <v>1904</v>
      </c>
      <c r="Q323" s="158">
        <f t="shared" si="84"/>
        <v>1903.5</v>
      </c>
      <c r="R323" s="158">
        <f t="shared" si="85"/>
        <v>-0.5</v>
      </c>
      <c r="S323" s="159">
        <f t="shared" si="86"/>
        <v>99.97373949579831</v>
      </c>
    </row>
    <row r="324" spans="1:19" s="37" customFormat="1" ht="58.5" customHeight="1" hidden="1">
      <c r="A324" s="70"/>
      <c r="C324" s="33"/>
      <c r="D324" s="33"/>
      <c r="E324" s="33"/>
      <c r="F324" s="35" t="s">
        <v>27</v>
      </c>
      <c r="G324" s="142"/>
      <c r="H324" s="142"/>
      <c r="I324" s="138" t="e">
        <f t="shared" si="82"/>
        <v>#DIV/0!</v>
      </c>
      <c r="J324" s="142">
        <f aca="true" t="shared" si="99" ref="J324:J329">K324+N324</f>
        <v>0</v>
      </c>
      <c r="K324" s="142"/>
      <c r="L324" s="142"/>
      <c r="M324" s="142"/>
      <c r="N324" s="113"/>
      <c r="O324" s="147" t="e">
        <f t="shared" si="94"/>
        <v>#DIV/0!</v>
      </c>
      <c r="P324" s="139">
        <f t="shared" si="83"/>
        <v>0</v>
      </c>
      <c r="Q324" s="158">
        <f t="shared" si="84"/>
        <v>0</v>
      </c>
      <c r="R324" s="158">
        <f t="shared" si="85"/>
        <v>0</v>
      </c>
      <c r="S324" s="159" t="e">
        <f t="shared" si="86"/>
        <v>#DIV/0!</v>
      </c>
    </row>
    <row r="325" spans="3:19" s="37" customFormat="1" ht="141.75" customHeight="1">
      <c r="C325" s="33" t="s">
        <v>447</v>
      </c>
      <c r="D325" s="33" t="s">
        <v>437</v>
      </c>
      <c r="E325" s="33" t="s">
        <v>62</v>
      </c>
      <c r="F325" s="42" t="s">
        <v>438</v>
      </c>
      <c r="G325" s="142">
        <f>G326+G327</f>
        <v>0</v>
      </c>
      <c r="H325" s="142">
        <f>H326+H327</f>
        <v>0</v>
      </c>
      <c r="I325" s="161" t="e">
        <f t="shared" si="82"/>
        <v>#DIV/0!</v>
      </c>
      <c r="J325" s="142">
        <f t="shared" si="99"/>
        <v>20</v>
      </c>
      <c r="K325" s="142">
        <f>K326+K327</f>
        <v>20</v>
      </c>
      <c r="L325" s="142">
        <f>L326+L327</f>
        <v>20</v>
      </c>
      <c r="M325" s="142">
        <f>M326+M327</f>
        <v>0</v>
      </c>
      <c r="N325" s="36">
        <f>N326+N327</f>
        <v>0</v>
      </c>
      <c r="O325" s="147">
        <f t="shared" si="94"/>
        <v>100</v>
      </c>
      <c r="P325" s="139">
        <f t="shared" si="83"/>
        <v>20</v>
      </c>
      <c r="Q325" s="158">
        <f t="shared" si="84"/>
        <v>20</v>
      </c>
      <c r="R325" s="158">
        <f t="shared" si="85"/>
        <v>0</v>
      </c>
      <c r="S325" s="159">
        <f t="shared" si="86"/>
        <v>100</v>
      </c>
    </row>
    <row r="326" spans="3:19" s="6" customFormat="1" ht="63.75" customHeight="1" hidden="1">
      <c r="C326" s="33"/>
      <c r="D326" s="33"/>
      <c r="E326" s="33"/>
      <c r="F326" s="42" t="s">
        <v>129</v>
      </c>
      <c r="G326" s="138"/>
      <c r="H326" s="138"/>
      <c r="I326" s="161" t="e">
        <f t="shared" si="82"/>
        <v>#DIV/0!</v>
      </c>
      <c r="J326" s="142">
        <f t="shared" si="99"/>
        <v>0</v>
      </c>
      <c r="K326" s="138"/>
      <c r="L326" s="138"/>
      <c r="M326" s="138"/>
      <c r="N326" s="112"/>
      <c r="O326" s="147" t="e">
        <f t="shared" si="94"/>
        <v>#DIV/0!</v>
      </c>
      <c r="P326" s="139">
        <f t="shared" si="83"/>
        <v>0</v>
      </c>
      <c r="Q326" s="158">
        <f t="shared" si="84"/>
        <v>0</v>
      </c>
      <c r="R326" s="158">
        <f t="shared" si="85"/>
        <v>0</v>
      </c>
      <c r="S326" s="159" t="e">
        <f t="shared" si="86"/>
        <v>#DIV/0!</v>
      </c>
    </row>
    <row r="327" spans="3:19" s="6" customFormat="1" ht="43.5" customHeight="1">
      <c r="C327" s="33"/>
      <c r="D327" s="33"/>
      <c r="E327" s="33"/>
      <c r="F327" s="42" t="s">
        <v>133</v>
      </c>
      <c r="G327" s="138"/>
      <c r="H327" s="138"/>
      <c r="I327" s="161" t="e">
        <f t="shared" si="82"/>
        <v>#DIV/0!</v>
      </c>
      <c r="J327" s="142">
        <f t="shared" si="99"/>
        <v>20</v>
      </c>
      <c r="K327" s="138">
        <v>20</v>
      </c>
      <c r="L327" s="138">
        <v>20</v>
      </c>
      <c r="M327" s="138"/>
      <c r="N327" s="112"/>
      <c r="O327" s="147">
        <f t="shared" si="94"/>
        <v>100</v>
      </c>
      <c r="P327" s="139">
        <f t="shared" si="83"/>
        <v>20</v>
      </c>
      <c r="Q327" s="158">
        <f t="shared" si="84"/>
        <v>20</v>
      </c>
      <c r="R327" s="158">
        <f t="shared" si="85"/>
        <v>0</v>
      </c>
      <c r="S327" s="159">
        <f t="shared" si="86"/>
        <v>100</v>
      </c>
    </row>
    <row r="328" spans="3:19" s="37" customFormat="1" ht="31.5" customHeight="1">
      <c r="C328" s="33" t="s">
        <v>464</v>
      </c>
      <c r="D328" s="33" t="s">
        <v>448</v>
      </c>
      <c r="E328" s="33" t="s">
        <v>62</v>
      </c>
      <c r="F328" s="42" t="s">
        <v>449</v>
      </c>
      <c r="G328" s="142">
        <f>G329</f>
        <v>9799.1</v>
      </c>
      <c r="H328" s="142">
        <f aca="true" t="shared" si="100" ref="H328:N328">H329</f>
        <v>9798.1</v>
      </c>
      <c r="I328" s="138">
        <f t="shared" si="82"/>
        <v>99.98979498117174</v>
      </c>
      <c r="J328" s="142">
        <f t="shared" si="99"/>
        <v>0</v>
      </c>
      <c r="K328" s="142">
        <f t="shared" si="100"/>
        <v>0</v>
      </c>
      <c r="L328" s="142">
        <f t="shared" si="100"/>
        <v>0</v>
      </c>
      <c r="M328" s="142">
        <f t="shared" si="100"/>
        <v>0</v>
      </c>
      <c r="N328" s="113">
        <f t="shared" si="100"/>
        <v>0</v>
      </c>
      <c r="O328" s="147"/>
      <c r="P328" s="139">
        <f t="shared" si="83"/>
        <v>9799.1</v>
      </c>
      <c r="Q328" s="158">
        <f t="shared" si="84"/>
        <v>9798.1</v>
      </c>
      <c r="R328" s="158">
        <f t="shared" si="85"/>
        <v>-1</v>
      </c>
      <c r="S328" s="159">
        <f t="shared" si="86"/>
        <v>99.98979498117174</v>
      </c>
    </row>
    <row r="329" spans="3:19" s="37" customFormat="1" ht="63.75" customHeight="1">
      <c r="C329" s="33"/>
      <c r="D329" s="33"/>
      <c r="E329" s="33"/>
      <c r="F329" s="42" t="s">
        <v>129</v>
      </c>
      <c r="G329" s="142">
        <v>9799.1</v>
      </c>
      <c r="H329" s="142">
        <v>9798.1</v>
      </c>
      <c r="I329" s="138">
        <f t="shared" si="82"/>
        <v>99.98979498117174</v>
      </c>
      <c r="J329" s="142">
        <f t="shared" si="99"/>
        <v>0</v>
      </c>
      <c r="K329" s="142"/>
      <c r="L329" s="142"/>
      <c r="M329" s="142"/>
      <c r="N329" s="113"/>
      <c r="O329" s="147"/>
      <c r="P329" s="139">
        <f t="shared" si="83"/>
        <v>9799.1</v>
      </c>
      <c r="Q329" s="158">
        <f t="shared" si="84"/>
        <v>9798.1</v>
      </c>
      <c r="R329" s="158">
        <f t="shared" si="85"/>
        <v>-1</v>
      </c>
      <c r="S329" s="159">
        <f t="shared" si="86"/>
        <v>99.98979498117174</v>
      </c>
    </row>
    <row r="330" spans="3:19" s="46" customFormat="1" ht="37.5" customHeight="1">
      <c r="C330" s="28"/>
      <c r="D330" s="28"/>
      <c r="E330" s="28"/>
      <c r="F330" s="29" t="s">
        <v>345</v>
      </c>
      <c r="G330" s="139">
        <f>G331</f>
        <v>0</v>
      </c>
      <c r="H330" s="139">
        <f>H331</f>
        <v>0</v>
      </c>
      <c r="I330" s="161" t="e">
        <f aca="true" t="shared" si="101" ref="I330:I385">H330/G330*100</f>
        <v>#DIV/0!</v>
      </c>
      <c r="J330" s="139">
        <f>J331</f>
        <v>4.5</v>
      </c>
      <c r="K330" s="139">
        <f>K331</f>
        <v>4.525</v>
      </c>
      <c r="L330" s="139">
        <f>L331</f>
        <v>4.5</v>
      </c>
      <c r="M330" s="139">
        <f>M331</f>
        <v>0</v>
      </c>
      <c r="N330" s="114" t="e">
        <f>#REF!</f>
        <v>#REF!</v>
      </c>
      <c r="O330" s="147">
        <f t="shared" si="94"/>
        <v>100</v>
      </c>
      <c r="P330" s="139">
        <f aca="true" t="shared" si="102" ref="P330:P385">G330+J330</f>
        <v>4.5</v>
      </c>
      <c r="Q330" s="158">
        <f aca="true" t="shared" si="103" ref="Q330:Q385">H330+L330</f>
        <v>4.5</v>
      </c>
      <c r="R330" s="158">
        <f aca="true" t="shared" si="104" ref="R330:R385">Q330-P330</f>
        <v>0</v>
      </c>
      <c r="S330" s="159">
        <f aca="true" t="shared" si="105" ref="S330:S385">Q330/P330*100</f>
        <v>100</v>
      </c>
    </row>
    <row r="331" spans="3:19" s="6" customFormat="1" ht="39" customHeight="1">
      <c r="C331" s="30" t="s">
        <v>523</v>
      </c>
      <c r="D331" s="30" t="s">
        <v>492</v>
      </c>
      <c r="E331" s="30" t="s">
        <v>493</v>
      </c>
      <c r="F331" s="40" t="s">
        <v>524</v>
      </c>
      <c r="G331" s="138">
        <f>SUM(G332)</f>
        <v>0</v>
      </c>
      <c r="H331" s="138">
        <f>SUM(H332)</f>
        <v>0</v>
      </c>
      <c r="I331" s="161" t="e">
        <f t="shared" si="101"/>
        <v>#DIV/0!</v>
      </c>
      <c r="J331" s="138">
        <f>SUM(J332)</f>
        <v>4.5</v>
      </c>
      <c r="K331" s="138">
        <f>SUM(K332)</f>
        <v>4.525</v>
      </c>
      <c r="L331" s="138">
        <v>4.5</v>
      </c>
      <c r="M331" s="138"/>
      <c r="N331" s="112"/>
      <c r="O331" s="147">
        <f t="shared" si="94"/>
        <v>100</v>
      </c>
      <c r="P331" s="139">
        <f t="shared" si="102"/>
        <v>4.5</v>
      </c>
      <c r="Q331" s="158">
        <f t="shared" si="103"/>
        <v>4.5</v>
      </c>
      <c r="R331" s="158">
        <f t="shared" si="104"/>
        <v>0</v>
      </c>
      <c r="S331" s="159">
        <f t="shared" si="105"/>
        <v>100</v>
      </c>
    </row>
    <row r="332" spans="3:19" s="37" customFormat="1" ht="67.5" customHeight="1">
      <c r="C332" s="33"/>
      <c r="D332" s="33"/>
      <c r="E332" s="33"/>
      <c r="F332" s="47" t="s">
        <v>134</v>
      </c>
      <c r="G332" s="142"/>
      <c r="H332" s="142"/>
      <c r="I332" s="161" t="e">
        <f t="shared" si="101"/>
        <v>#DIV/0!</v>
      </c>
      <c r="J332" s="142">
        <v>4.5</v>
      </c>
      <c r="K332" s="142">
        <v>4.525</v>
      </c>
      <c r="L332" s="142">
        <v>4.5</v>
      </c>
      <c r="M332" s="142"/>
      <c r="N332" s="113"/>
      <c r="O332" s="147">
        <f t="shared" si="94"/>
        <v>100</v>
      </c>
      <c r="P332" s="139">
        <f t="shared" si="102"/>
        <v>4.5</v>
      </c>
      <c r="Q332" s="158">
        <f t="shared" si="103"/>
        <v>4.5</v>
      </c>
      <c r="R332" s="158">
        <f t="shared" si="104"/>
        <v>0</v>
      </c>
      <c r="S332" s="159">
        <f t="shared" si="105"/>
        <v>100</v>
      </c>
    </row>
    <row r="333" spans="3:19" s="46" customFormat="1" ht="36" customHeight="1" hidden="1">
      <c r="C333" s="28" t="s">
        <v>352</v>
      </c>
      <c r="D333" s="28" t="s">
        <v>346</v>
      </c>
      <c r="E333" s="28"/>
      <c r="F333" s="29" t="s">
        <v>347</v>
      </c>
      <c r="G333" s="139">
        <f>G334</f>
        <v>0</v>
      </c>
      <c r="H333" s="139">
        <f aca="true" t="shared" si="106" ref="H333:N334">H334</f>
        <v>0</v>
      </c>
      <c r="I333" s="138" t="e">
        <f t="shared" si="101"/>
        <v>#DIV/0!</v>
      </c>
      <c r="J333" s="139">
        <f>J334</f>
        <v>0</v>
      </c>
      <c r="K333" s="139">
        <f t="shared" si="106"/>
        <v>0</v>
      </c>
      <c r="L333" s="139">
        <f t="shared" si="106"/>
        <v>0</v>
      </c>
      <c r="M333" s="139">
        <f t="shared" si="106"/>
        <v>0</v>
      </c>
      <c r="N333" s="114">
        <f t="shared" si="106"/>
        <v>0</v>
      </c>
      <c r="O333" s="147" t="e">
        <f t="shared" si="94"/>
        <v>#DIV/0!</v>
      </c>
      <c r="P333" s="139">
        <f t="shared" si="102"/>
        <v>0</v>
      </c>
      <c r="Q333" s="158">
        <f t="shared" si="103"/>
        <v>0</v>
      </c>
      <c r="R333" s="158">
        <f t="shared" si="104"/>
        <v>0</v>
      </c>
      <c r="S333" s="159" t="e">
        <f t="shared" si="105"/>
        <v>#DIV/0!</v>
      </c>
    </row>
    <row r="334" spans="3:19" s="6" customFormat="1" ht="71.25" customHeight="1" hidden="1">
      <c r="C334" s="30" t="s">
        <v>348</v>
      </c>
      <c r="D334" s="30" t="s">
        <v>349</v>
      </c>
      <c r="E334" s="30" t="s">
        <v>59</v>
      </c>
      <c r="F334" s="31" t="s">
        <v>350</v>
      </c>
      <c r="G334" s="138">
        <f>G335</f>
        <v>0</v>
      </c>
      <c r="H334" s="138">
        <f t="shared" si="106"/>
        <v>0</v>
      </c>
      <c r="I334" s="138" t="e">
        <f t="shared" si="101"/>
        <v>#DIV/0!</v>
      </c>
      <c r="J334" s="138">
        <f>J335</f>
        <v>0</v>
      </c>
      <c r="K334" s="138">
        <f t="shared" si="106"/>
        <v>0</v>
      </c>
      <c r="L334" s="138">
        <f t="shared" si="106"/>
        <v>0</v>
      </c>
      <c r="M334" s="138">
        <f t="shared" si="106"/>
        <v>0</v>
      </c>
      <c r="N334" s="112">
        <f t="shared" si="106"/>
        <v>0</v>
      </c>
      <c r="O334" s="147" t="e">
        <f t="shared" si="94"/>
        <v>#DIV/0!</v>
      </c>
      <c r="P334" s="139">
        <f t="shared" si="102"/>
        <v>0</v>
      </c>
      <c r="Q334" s="158">
        <f t="shared" si="103"/>
        <v>0</v>
      </c>
      <c r="R334" s="158">
        <f t="shared" si="104"/>
        <v>0</v>
      </c>
      <c r="S334" s="159" t="e">
        <f t="shared" si="105"/>
        <v>#DIV/0!</v>
      </c>
    </row>
    <row r="335" spans="3:19" s="6" customFormat="1" ht="41.25" customHeight="1" hidden="1">
      <c r="C335" s="30" t="s">
        <v>339</v>
      </c>
      <c r="D335" s="30" t="s">
        <v>279</v>
      </c>
      <c r="E335" s="30" t="s">
        <v>59</v>
      </c>
      <c r="F335" s="31" t="s">
        <v>277</v>
      </c>
      <c r="G335" s="138">
        <f>G336</f>
        <v>0</v>
      </c>
      <c r="H335" s="138">
        <f>H336</f>
        <v>0</v>
      </c>
      <c r="I335" s="138" t="e">
        <f t="shared" si="101"/>
        <v>#DIV/0!</v>
      </c>
      <c r="J335" s="138">
        <f>J336</f>
        <v>0</v>
      </c>
      <c r="K335" s="138">
        <f>K336</f>
        <v>0</v>
      </c>
      <c r="L335" s="138">
        <f>L336</f>
        <v>0</v>
      </c>
      <c r="M335" s="138">
        <f>M336</f>
        <v>0</v>
      </c>
      <c r="N335" s="112">
        <f>N336</f>
        <v>0</v>
      </c>
      <c r="O335" s="147" t="e">
        <f t="shared" si="94"/>
        <v>#DIV/0!</v>
      </c>
      <c r="P335" s="139">
        <f t="shared" si="102"/>
        <v>0</v>
      </c>
      <c r="Q335" s="158">
        <f t="shared" si="103"/>
        <v>0</v>
      </c>
      <c r="R335" s="158">
        <f t="shared" si="104"/>
        <v>0</v>
      </c>
      <c r="S335" s="159" t="e">
        <f t="shared" si="105"/>
        <v>#DIV/0!</v>
      </c>
    </row>
    <row r="336" spans="3:19" s="37" customFormat="1" ht="172.5" customHeight="1" hidden="1">
      <c r="C336" s="33"/>
      <c r="D336" s="33"/>
      <c r="E336" s="33"/>
      <c r="F336" s="42" t="s">
        <v>340</v>
      </c>
      <c r="G336" s="142"/>
      <c r="H336" s="142"/>
      <c r="I336" s="138" t="e">
        <f t="shared" si="101"/>
        <v>#DIV/0!</v>
      </c>
      <c r="J336" s="142">
        <f>K336+N336</f>
        <v>0</v>
      </c>
      <c r="K336" s="142"/>
      <c r="L336" s="142"/>
      <c r="M336" s="142"/>
      <c r="N336" s="113"/>
      <c r="O336" s="147" t="e">
        <f t="shared" si="94"/>
        <v>#DIV/0!</v>
      </c>
      <c r="P336" s="139">
        <f t="shared" si="102"/>
        <v>0</v>
      </c>
      <c r="Q336" s="158">
        <f t="shared" si="103"/>
        <v>0</v>
      </c>
      <c r="R336" s="158">
        <f t="shared" si="104"/>
        <v>0</v>
      </c>
      <c r="S336" s="159" t="e">
        <f t="shared" si="105"/>
        <v>#DIV/0!</v>
      </c>
    </row>
    <row r="337" spans="3:19" s="95" customFormat="1" ht="35.25" customHeight="1">
      <c r="C337" s="96"/>
      <c r="D337" s="96"/>
      <c r="E337" s="96"/>
      <c r="F337" s="75" t="s">
        <v>10</v>
      </c>
      <c r="G337" s="144">
        <f>G249+G252+G257+G299+G330+G333</f>
        <v>40739.399999999994</v>
      </c>
      <c r="H337" s="144">
        <f>H249+H252+H257+H299+H330+H333</f>
        <v>40725.59999999999</v>
      </c>
      <c r="I337" s="138">
        <f t="shared" si="101"/>
        <v>99.96612615796991</v>
      </c>
      <c r="J337" s="144">
        <f>J249+J252+J257+J299+J330+J333</f>
        <v>34665.799999999996</v>
      </c>
      <c r="K337" s="144">
        <f>K249+K252+K257+K299+K330+K333</f>
        <v>24.525</v>
      </c>
      <c r="L337" s="144">
        <f>L249+L252+L257+L299+L330+L333</f>
        <v>33310.6</v>
      </c>
      <c r="M337" s="144">
        <f>M249+M252+M257+M299+M330+M333</f>
        <v>33286.1</v>
      </c>
      <c r="N337" s="131" t="e">
        <f>N249+N252+N257+N299+N330+N333</f>
        <v>#REF!</v>
      </c>
      <c r="O337" s="147">
        <f t="shared" si="94"/>
        <v>96.09067149755668</v>
      </c>
      <c r="P337" s="139">
        <f t="shared" si="102"/>
        <v>75405.19999999998</v>
      </c>
      <c r="Q337" s="158">
        <f t="shared" si="103"/>
        <v>74036.19999999998</v>
      </c>
      <c r="R337" s="158">
        <f t="shared" si="104"/>
        <v>-1369</v>
      </c>
      <c r="S337" s="159">
        <f t="shared" si="105"/>
        <v>98.18447534122315</v>
      </c>
    </row>
    <row r="338" spans="3:19" s="46" customFormat="1" ht="74.25" customHeight="1">
      <c r="C338" s="101">
        <v>2800000</v>
      </c>
      <c r="D338" s="28"/>
      <c r="E338" s="28"/>
      <c r="F338" s="44" t="s">
        <v>55</v>
      </c>
      <c r="G338" s="139"/>
      <c r="H338" s="139"/>
      <c r="I338" s="138"/>
      <c r="J338" s="139"/>
      <c r="K338" s="139"/>
      <c r="L338" s="139"/>
      <c r="M338" s="139"/>
      <c r="N338" s="114"/>
      <c r="O338" s="147"/>
      <c r="P338" s="139"/>
      <c r="Q338" s="158"/>
      <c r="R338" s="158"/>
      <c r="S338" s="159"/>
    </row>
    <row r="339" spans="3:19" s="46" customFormat="1" ht="77.25" customHeight="1">
      <c r="C339" s="101">
        <v>2810000</v>
      </c>
      <c r="D339" s="28"/>
      <c r="E339" s="28"/>
      <c r="F339" s="44" t="s">
        <v>54</v>
      </c>
      <c r="G339" s="139"/>
      <c r="H339" s="139"/>
      <c r="I339" s="138"/>
      <c r="J339" s="139"/>
      <c r="K339" s="139"/>
      <c r="L339" s="139"/>
      <c r="M339" s="139"/>
      <c r="N339" s="114"/>
      <c r="O339" s="147"/>
      <c r="P339" s="139"/>
      <c r="Q339" s="158"/>
      <c r="R339" s="158"/>
      <c r="S339" s="159"/>
    </row>
    <row r="340" spans="3:19" s="46" customFormat="1" ht="35.25" customHeight="1">
      <c r="C340" s="28"/>
      <c r="D340" s="28"/>
      <c r="E340" s="28"/>
      <c r="F340" s="29" t="s">
        <v>351</v>
      </c>
      <c r="G340" s="139">
        <f>G341</f>
        <v>1662.6</v>
      </c>
      <c r="H340" s="139">
        <f>H341</f>
        <v>1662</v>
      </c>
      <c r="I340" s="138">
        <f t="shared" si="101"/>
        <v>99.96391194514617</v>
      </c>
      <c r="J340" s="139">
        <f>K340+N340</f>
        <v>0</v>
      </c>
      <c r="K340" s="139">
        <f aca="true" t="shared" si="107" ref="K340:N341">K341</f>
        <v>0</v>
      </c>
      <c r="L340" s="139">
        <f t="shared" si="107"/>
        <v>0</v>
      </c>
      <c r="M340" s="139">
        <f t="shared" si="107"/>
        <v>0</v>
      </c>
      <c r="N340" s="114">
        <f t="shared" si="107"/>
        <v>0</v>
      </c>
      <c r="O340" s="147"/>
      <c r="P340" s="139">
        <f t="shared" si="102"/>
        <v>1662.6</v>
      </c>
      <c r="Q340" s="158">
        <f t="shared" si="103"/>
        <v>1662</v>
      </c>
      <c r="R340" s="158">
        <f t="shared" si="104"/>
        <v>-0.599999999999909</v>
      </c>
      <c r="S340" s="159">
        <f t="shared" si="105"/>
        <v>99.96391194514617</v>
      </c>
    </row>
    <row r="341" spans="1:19" s="6" customFormat="1" ht="63" customHeight="1">
      <c r="A341" s="6">
        <v>8</v>
      </c>
      <c r="B341" s="6">
        <v>57</v>
      </c>
      <c r="C341" s="30" t="s">
        <v>179</v>
      </c>
      <c r="D341" s="30" t="s">
        <v>64</v>
      </c>
      <c r="E341" s="30" t="s">
        <v>60</v>
      </c>
      <c r="F341" s="31" t="s">
        <v>172</v>
      </c>
      <c r="G341" s="138">
        <f>G342</f>
        <v>1662.6</v>
      </c>
      <c r="H341" s="138">
        <f>H342</f>
        <v>1662</v>
      </c>
      <c r="I341" s="138">
        <f t="shared" si="101"/>
        <v>99.96391194514617</v>
      </c>
      <c r="J341" s="138">
        <f aca="true" t="shared" si="108" ref="J341:J348">K341+N341</f>
        <v>0</v>
      </c>
      <c r="K341" s="138">
        <f t="shared" si="107"/>
        <v>0</v>
      </c>
      <c r="L341" s="138">
        <f t="shared" si="107"/>
        <v>0</v>
      </c>
      <c r="M341" s="138">
        <f t="shared" si="107"/>
        <v>0</v>
      </c>
      <c r="N341" s="112">
        <f t="shared" si="107"/>
        <v>0</v>
      </c>
      <c r="O341" s="147"/>
      <c r="P341" s="139">
        <f t="shared" si="102"/>
        <v>1662.6</v>
      </c>
      <c r="Q341" s="158">
        <f t="shared" si="103"/>
        <v>1662</v>
      </c>
      <c r="R341" s="158">
        <f t="shared" si="104"/>
        <v>-0.599999999999909</v>
      </c>
      <c r="S341" s="159">
        <f t="shared" si="105"/>
        <v>99.96391194514617</v>
      </c>
    </row>
    <row r="342" spans="3:19" s="37" customFormat="1" ht="66" customHeight="1">
      <c r="C342" s="33"/>
      <c r="D342" s="33"/>
      <c r="E342" s="33"/>
      <c r="F342" s="42" t="s">
        <v>362</v>
      </c>
      <c r="G342" s="138">
        <v>1662.6</v>
      </c>
      <c r="H342" s="140">
        <v>1662</v>
      </c>
      <c r="I342" s="138">
        <f t="shared" si="101"/>
        <v>99.96391194514617</v>
      </c>
      <c r="J342" s="138">
        <f t="shared" si="108"/>
        <v>0</v>
      </c>
      <c r="K342" s="140"/>
      <c r="L342" s="140"/>
      <c r="M342" s="140"/>
      <c r="N342" s="115"/>
      <c r="O342" s="147"/>
      <c r="P342" s="139">
        <f t="shared" si="102"/>
        <v>1662.6</v>
      </c>
      <c r="Q342" s="158">
        <f t="shared" si="103"/>
        <v>1662</v>
      </c>
      <c r="R342" s="158">
        <f t="shared" si="104"/>
        <v>-0.599999999999909</v>
      </c>
      <c r="S342" s="159">
        <f t="shared" si="105"/>
        <v>99.96391194514617</v>
      </c>
    </row>
    <row r="343" spans="3:19" s="46" customFormat="1" ht="33.75" customHeight="1" hidden="1">
      <c r="C343" s="28" t="s">
        <v>363</v>
      </c>
      <c r="D343" s="28" t="s">
        <v>341</v>
      </c>
      <c r="E343" s="28"/>
      <c r="F343" s="29" t="s">
        <v>342</v>
      </c>
      <c r="G343" s="139">
        <f>G344</f>
        <v>0</v>
      </c>
      <c r="H343" s="139">
        <f>H344</f>
        <v>0</v>
      </c>
      <c r="I343" s="138" t="e">
        <f t="shared" si="101"/>
        <v>#DIV/0!</v>
      </c>
      <c r="J343" s="139">
        <f>K343+N343</f>
        <v>0</v>
      </c>
      <c r="K343" s="139">
        <f aca="true" t="shared" si="109" ref="K343:N344">K344</f>
        <v>0</v>
      </c>
      <c r="L343" s="139">
        <f t="shared" si="109"/>
        <v>0</v>
      </c>
      <c r="M343" s="139">
        <f t="shared" si="109"/>
        <v>0</v>
      </c>
      <c r="N343" s="114">
        <f t="shared" si="109"/>
        <v>0</v>
      </c>
      <c r="O343" s="147" t="e">
        <f t="shared" si="94"/>
        <v>#DIV/0!</v>
      </c>
      <c r="P343" s="139">
        <f t="shared" si="102"/>
        <v>0</v>
      </c>
      <c r="Q343" s="158">
        <f t="shared" si="103"/>
        <v>0</v>
      </c>
      <c r="R343" s="158">
        <f t="shared" si="104"/>
        <v>0</v>
      </c>
      <c r="S343" s="159" t="e">
        <f t="shared" si="105"/>
        <v>#DIV/0!</v>
      </c>
    </row>
    <row r="344" spans="3:19" s="6" customFormat="1" ht="35.25" customHeight="1" hidden="1">
      <c r="C344" s="30" t="s">
        <v>365</v>
      </c>
      <c r="D344" s="30" t="s">
        <v>99</v>
      </c>
      <c r="E344" s="30" t="s">
        <v>100</v>
      </c>
      <c r="F344" s="31" t="s">
        <v>323</v>
      </c>
      <c r="G344" s="138">
        <f>G345</f>
        <v>0</v>
      </c>
      <c r="H344" s="138">
        <f>H345</f>
        <v>0</v>
      </c>
      <c r="I344" s="138" t="e">
        <f t="shared" si="101"/>
        <v>#DIV/0!</v>
      </c>
      <c r="J344" s="138">
        <f t="shared" si="108"/>
        <v>0</v>
      </c>
      <c r="K344" s="138">
        <f t="shared" si="109"/>
        <v>0</v>
      </c>
      <c r="L344" s="138">
        <f t="shared" si="109"/>
        <v>0</v>
      </c>
      <c r="M344" s="138">
        <f t="shared" si="109"/>
        <v>0</v>
      </c>
      <c r="N344" s="112">
        <f t="shared" si="109"/>
        <v>0</v>
      </c>
      <c r="O344" s="147" t="e">
        <f t="shared" si="94"/>
        <v>#DIV/0!</v>
      </c>
      <c r="P344" s="139">
        <f t="shared" si="102"/>
        <v>0</v>
      </c>
      <c r="Q344" s="158">
        <f t="shared" si="103"/>
        <v>0</v>
      </c>
      <c r="R344" s="158">
        <f t="shared" si="104"/>
        <v>0</v>
      </c>
      <c r="S344" s="159" t="e">
        <f t="shared" si="105"/>
        <v>#DIV/0!</v>
      </c>
    </row>
    <row r="345" spans="3:19" s="37" customFormat="1" ht="68.25" customHeight="1" hidden="1">
      <c r="C345" s="33"/>
      <c r="D345" s="33"/>
      <c r="E345" s="33"/>
      <c r="F345" s="42" t="s">
        <v>364</v>
      </c>
      <c r="G345" s="142"/>
      <c r="H345" s="140"/>
      <c r="I345" s="138" t="e">
        <f t="shared" si="101"/>
        <v>#DIV/0!</v>
      </c>
      <c r="J345" s="142">
        <f t="shared" si="108"/>
        <v>0</v>
      </c>
      <c r="K345" s="140"/>
      <c r="L345" s="140"/>
      <c r="M345" s="140"/>
      <c r="N345" s="115"/>
      <c r="O345" s="147" t="e">
        <f t="shared" si="94"/>
        <v>#DIV/0!</v>
      </c>
      <c r="P345" s="139">
        <f t="shared" si="102"/>
        <v>0</v>
      </c>
      <c r="Q345" s="158">
        <f t="shared" si="103"/>
        <v>0</v>
      </c>
      <c r="R345" s="158">
        <f t="shared" si="104"/>
        <v>0</v>
      </c>
      <c r="S345" s="159" t="e">
        <f t="shared" si="105"/>
        <v>#DIV/0!</v>
      </c>
    </row>
    <row r="346" spans="3:19" s="46" customFormat="1" ht="39.75" customHeight="1">
      <c r="C346" s="28"/>
      <c r="D346" s="28"/>
      <c r="E346" s="28"/>
      <c r="F346" s="29" t="s">
        <v>379</v>
      </c>
      <c r="G346" s="139">
        <f>G347+G349+G351</f>
        <v>165.6</v>
      </c>
      <c r="H346" s="139">
        <f>H347+H349+H351</f>
        <v>165.6</v>
      </c>
      <c r="I346" s="138">
        <f t="shared" si="101"/>
        <v>100</v>
      </c>
      <c r="J346" s="139">
        <f>J347+J349+J351</f>
        <v>101.2</v>
      </c>
      <c r="K346" s="139">
        <f>K347+K349+K351</f>
        <v>90.858</v>
      </c>
      <c r="L346" s="139">
        <f>L347+L349+L351</f>
        <v>101.1</v>
      </c>
      <c r="M346" s="139">
        <f>M347+M349+M351</f>
        <v>0</v>
      </c>
      <c r="N346" s="60" t="e">
        <f>#REF!+#REF!+#REF!</f>
        <v>#REF!</v>
      </c>
      <c r="O346" s="147">
        <f t="shared" si="94"/>
        <v>99.90118577075097</v>
      </c>
      <c r="P346" s="139">
        <f t="shared" si="102"/>
        <v>266.8</v>
      </c>
      <c r="Q346" s="158">
        <f t="shared" si="103"/>
        <v>266.7</v>
      </c>
      <c r="R346" s="158">
        <f t="shared" si="104"/>
        <v>-0.10000000000002274</v>
      </c>
      <c r="S346" s="159">
        <f t="shared" si="105"/>
        <v>99.96251874062968</v>
      </c>
    </row>
    <row r="347" spans="3:19" s="6" customFormat="1" ht="38.25" customHeight="1">
      <c r="C347" s="30" t="s">
        <v>366</v>
      </c>
      <c r="D347" s="30" t="s">
        <v>367</v>
      </c>
      <c r="E347" s="30" t="s">
        <v>127</v>
      </c>
      <c r="F347" s="31" t="s">
        <v>368</v>
      </c>
      <c r="G347" s="138">
        <f>G348</f>
        <v>165.6</v>
      </c>
      <c r="H347" s="138">
        <f aca="true" t="shared" si="110" ref="H347:N347">H348</f>
        <v>165.6</v>
      </c>
      <c r="I347" s="138">
        <f t="shared" si="101"/>
        <v>100</v>
      </c>
      <c r="J347" s="138">
        <f t="shared" si="108"/>
        <v>0</v>
      </c>
      <c r="K347" s="138">
        <f t="shared" si="110"/>
        <v>0</v>
      </c>
      <c r="L347" s="138">
        <f t="shared" si="110"/>
        <v>0</v>
      </c>
      <c r="M347" s="138">
        <f t="shared" si="110"/>
        <v>0</v>
      </c>
      <c r="N347" s="112">
        <f t="shared" si="110"/>
        <v>0</v>
      </c>
      <c r="O347" s="147"/>
      <c r="P347" s="139">
        <f t="shared" si="102"/>
        <v>165.6</v>
      </c>
      <c r="Q347" s="158">
        <f t="shared" si="103"/>
        <v>165.6</v>
      </c>
      <c r="R347" s="158">
        <f t="shared" si="104"/>
        <v>0</v>
      </c>
      <c r="S347" s="159">
        <f t="shared" si="105"/>
        <v>100</v>
      </c>
    </row>
    <row r="348" spans="3:19" s="37" customFormat="1" ht="42" customHeight="1">
      <c r="C348" s="33"/>
      <c r="D348" s="33"/>
      <c r="E348" s="33"/>
      <c r="F348" s="42" t="s">
        <v>369</v>
      </c>
      <c r="G348" s="142">
        <v>165.6</v>
      </c>
      <c r="H348" s="140">
        <v>165.6</v>
      </c>
      <c r="I348" s="138">
        <f t="shared" si="101"/>
        <v>100</v>
      </c>
      <c r="J348" s="142">
        <f t="shared" si="108"/>
        <v>0</v>
      </c>
      <c r="K348" s="140"/>
      <c r="L348" s="140">
        <v>0</v>
      </c>
      <c r="M348" s="140">
        <v>0</v>
      </c>
      <c r="N348" s="115"/>
      <c r="O348" s="147"/>
      <c r="P348" s="139">
        <f t="shared" si="102"/>
        <v>165.6</v>
      </c>
      <c r="Q348" s="158">
        <f t="shared" si="103"/>
        <v>165.6</v>
      </c>
      <c r="R348" s="158">
        <f t="shared" si="104"/>
        <v>0</v>
      </c>
      <c r="S348" s="159">
        <f t="shared" si="105"/>
        <v>100</v>
      </c>
    </row>
    <row r="349" spans="3:19" s="6" customFormat="1" ht="47.25" customHeight="1" hidden="1">
      <c r="C349" s="30" t="s">
        <v>525</v>
      </c>
      <c r="D349" s="30" t="s">
        <v>444</v>
      </c>
      <c r="E349" s="30" t="s">
        <v>62</v>
      </c>
      <c r="F349" s="31" t="s">
        <v>337</v>
      </c>
      <c r="G349" s="138">
        <f>G350</f>
        <v>0</v>
      </c>
      <c r="H349" s="138">
        <f>H350</f>
        <v>0</v>
      </c>
      <c r="I349" s="138"/>
      <c r="J349" s="138">
        <v>0</v>
      </c>
      <c r="K349" s="138">
        <f>K350</f>
        <v>0</v>
      </c>
      <c r="L349" s="138">
        <f>L350</f>
        <v>0</v>
      </c>
      <c r="M349" s="138">
        <f>M350</f>
        <v>0</v>
      </c>
      <c r="N349" s="112">
        <f>N350</f>
        <v>259</v>
      </c>
      <c r="O349" s="147"/>
      <c r="P349" s="139">
        <f t="shared" si="102"/>
        <v>0</v>
      </c>
      <c r="Q349" s="158">
        <f t="shared" si="103"/>
        <v>0</v>
      </c>
      <c r="R349" s="158">
        <f t="shared" si="104"/>
        <v>0</v>
      </c>
      <c r="S349" s="159" t="e">
        <f t="shared" si="105"/>
        <v>#DIV/0!</v>
      </c>
    </row>
    <row r="350" spans="3:19" s="37" customFormat="1" ht="45.75" customHeight="1" hidden="1">
      <c r="C350" s="33"/>
      <c r="D350" s="33"/>
      <c r="E350" s="33"/>
      <c r="F350" s="42" t="s">
        <v>369</v>
      </c>
      <c r="G350" s="142"/>
      <c r="H350" s="140"/>
      <c r="I350" s="138"/>
      <c r="J350" s="142"/>
      <c r="K350" s="140"/>
      <c r="L350" s="140"/>
      <c r="M350" s="140"/>
      <c r="N350" s="115">
        <v>259</v>
      </c>
      <c r="O350" s="147"/>
      <c r="P350" s="139">
        <f t="shared" si="102"/>
        <v>0</v>
      </c>
      <c r="Q350" s="158">
        <f t="shared" si="103"/>
        <v>0</v>
      </c>
      <c r="R350" s="158">
        <f t="shared" si="104"/>
        <v>0</v>
      </c>
      <c r="S350" s="159" t="e">
        <f t="shared" si="105"/>
        <v>#DIV/0!</v>
      </c>
    </row>
    <row r="351" spans="3:19" s="37" customFormat="1" ht="138.75" customHeight="1">
      <c r="C351" s="4" t="s">
        <v>622</v>
      </c>
      <c r="D351" s="4" t="s">
        <v>437</v>
      </c>
      <c r="E351" s="4" t="s">
        <v>62</v>
      </c>
      <c r="F351" s="35" t="s">
        <v>438</v>
      </c>
      <c r="G351" s="142">
        <f>G352</f>
        <v>0</v>
      </c>
      <c r="H351" s="142">
        <f aca="true" t="shared" si="111" ref="H351:N351">H352</f>
        <v>0</v>
      </c>
      <c r="I351" s="161" t="e">
        <f t="shared" si="101"/>
        <v>#DIV/0!</v>
      </c>
      <c r="J351" s="142">
        <f t="shared" si="111"/>
        <v>101.2</v>
      </c>
      <c r="K351" s="142">
        <f t="shared" si="111"/>
        <v>90.858</v>
      </c>
      <c r="L351" s="142">
        <f t="shared" si="111"/>
        <v>101.1</v>
      </c>
      <c r="M351" s="142">
        <f t="shared" si="111"/>
        <v>0</v>
      </c>
      <c r="N351" s="36">
        <f t="shared" si="111"/>
        <v>0</v>
      </c>
      <c r="O351" s="147">
        <f t="shared" si="94"/>
        <v>99.90118577075097</v>
      </c>
      <c r="P351" s="139">
        <f t="shared" si="102"/>
        <v>101.2</v>
      </c>
      <c r="Q351" s="158">
        <f t="shared" si="103"/>
        <v>101.1</v>
      </c>
      <c r="R351" s="158">
        <f t="shared" si="104"/>
        <v>-0.10000000000000853</v>
      </c>
      <c r="S351" s="159">
        <f t="shared" si="105"/>
        <v>99.90118577075097</v>
      </c>
    </row>
    <row r="352" spans="3:19" s="37" customFormat="1" ht="45.75" customHeight="1">
      <c r="C352" s="33"/>
      <c r="D352" s="33"/>
      <c r="E352" s="33"/>
      <c r="F352" s="42" t="s">
        <v>554</v>
      </c>
      <c r="G352" s="142"/>
      <c r="H352" s="140"/>
      <c r="I352" s="161" t="e">
        <f t="shared" si="101"/>
        <v>#DIV/0!</v>
      </c>
      <c r="J352" s="142">
        <v>101.2</v>
      </c>
      <c r="K352" s="140">
        <v>90.858</v>
      </c>
      <c r="L352" s="140">
        <v>101.1</v>
      </c>
      <c r="M352" s="140"/>
      <c r="N352" s="115"/>
      <c r="O352" s="147">
        <f t="shared" si="94"/>
        <v>99.90118577075097</v>
      </c>
      <c r="P352" s="139">
        <f t="shared" si="102"/>
        <v>101.2</v>
      </c>
      <c r="Q352" s="158">
        <f t="shared" si="103"/>
        <v>101.1</v>
      </c>
      <c r="R352" s="158">
        <f t="shared" si="104"/>
        <v>-0.10000000000000853</v>
      </c>
      <c r="S352" s="159">
        <f t="shared" si="105"/>
        <v>99.90118577075097</v>
      </c>
    </row>
    <row r="353" spans="3:19" s="46" customFormat="1" ht="33.75" customHeight="1">
      <c r="C353" s="28" t="s">
        <v>370</v>
      </c>
      <c r="D353" s="28" t="s">
        <v>344</v>
      </c>
      <c r="E353" s="28"/>
      <c r="F353" s="29" t="s">
        <v>345</v>
      </c>
      <c r="G353" s="139">
        <f>G354</f>
        <v>0</v>
      </c>
      <c r="H353" s="139">
        <f>H354</f>
        <v>0</v>
      </c>
      <c r="I353" s="161" t="e">
        <f t="shared" si="101"/>
        <v>#DIV/0!</v>
      </c>
      <c r="J353" s="139">
        <f>J354</f>
        <v>95</v>
      </c>
      <c r="K353" s="139">
        <f>K354</f>
        <v>95</v>
      </c>
      <c r="L353" s="139">
        <f>L354</f>
        <v>56.6</v>
      </c>
      <c r="M353" s="139">
        <f>M354</f>
        <v>0</v>
      </c>
      <c r="N353" s="114" t="e">
        <f>#REF!</f>
        <v>#REF!</v>
      </c>
      <c r="O353" s="147">
        <f t="shared" si="94"/>
        <v>59.578947368421055</v>
      </c>
      <c r="P353" s="139">
        <f t="shared" si="102"/>
        <v>95</v>
      </c>
      <c r="Q353" s="158">
        <f t="shared" si="103"/>
        <v>56.6</v>
      </c>
      <c r="R353" s="158">
        <f t="shared" si="104"/>
        <v>-38.4</v>
      </c>
      <c r="S353" s="159">
        <f t="shared" si="105"/>
        <v>59.578947368421055</v>
      </c>
    </row>
    <row r="354" spans="1:19" s="6" customFormat="1" ht="41.25" customHeight="1">
      <c r="A354" s="46"/>
      <c r="C354" s="30" t="s">
        <v>491</v>
      </c>
      <c r="D354" s="30" t="s">
        <v>492</v>
      </c>
      <c r="E354" s="30" t="s">
        <v>493</v>
      </c>
      <c r="F354" s="31" t="s">
        <v>524</v>
      </c>
      <c r="G354" s="138">
        <f>G355</f>
        <v>0</v>
      </c>
      <c r="H354" s="138">
        <f>H355</f>
        <v>0</v>
      </c>
      <c r="I354" s="161" t="e">
        <f t="shared" si="101"/>
        <v>#DIV/0!</v>
      </c>
      <c r="J354" s="138">
        <f>K354+N354</f>
        <v>95</v>
      </c>
      <c r="K354" s="138">
        <f>K355</f>
        <v>95</v>
      </c>
      <c r="L354" s="138">
        <f>L355</f>
        <v>56.6</v>
      </c>
      <c r="M354" s="138">
        <f>M355</f>
        <v>0</v>
      </c>
      <c r="N354" s="112">
        <f>N355</f>
        <v>0</v>
      </c>
      <c r="O354" s="147">
        <f t="shared" si="94"/>
        <v>59.578947368421055</v>
      </c>
      <c r="P354" s="139">
        <f t="shared" si="102"/>
        <v>95</v>
      </c>
      <c r="Q354" s="158">
        <f t="shared" si="103"/>
        <v>56.6</v>
      </c>
      <c r="R354" s="158">
        <f t="shared" si="104"/>
        <v>-38.4</v>
      </c>
      <c r="S354" s="159">
        <f t="shared" si="105"/>
        <v>59.578947368421055</v>
      </c>
    </row>
    <row r="355" spans="3:19" s="37" customFormat="1" ht="58.5" customHeight="1">
      <c r="C355" s="33"/>
      <c r="D355" s="33"/>
      <c r="E355" s="33"/>
      <c r="F355" s="42" t="s">
        <v>30</v>
      </c>
      <c r="G355" s="142"/>
      <c r="H355" s="142"/>
      <c r="I355" s="161" t="e">
        <f t="shared" si="101"/>
        <v>#DIV/0!</v>
      </c>
      <c r="J355" s="142">
        <f>K355+N355</f>
        <v>95</v>
      </c>
      <c r="K355" s="142">
        <v>95</v>
      </c>
      <c r="L355" s="142">
        <v>56.6</v>
      </c>
      <c r="M355" s="142"/>
      <c r="N355" s="113"/>
      <c r="O355" s="147">
        <f t="shared" si="94"/>
        <v>59.578947368421055</v>
      </c>
      <c r="P355" s="139">
        <f t="shared" si="102"/>
        <v>95</v>
      </c>
      <c r="Q355" s="158">
        <f t="shared" si="103"/>
        <v>56.6</v>
      </c>
      <c r="R355" s="158">
        <f t="shared" si="104"/>
        <v>-38.4</v>
      </c>
      <c r="S355" s="159">
        <f t="shared" si="105"/>
        <v>59.578947368421055</v>
      </c>
    </row>
    <row r="356" spans="3:19" s="95" customFormat="1" ht="36.75" customHeight="1">
      <c r="C356" s="96"/>
      <c r="D356" s="96"/>
      <c r="E356" s="96"/>
      <c r="F356" s="102" t="s">
        <v>10</v>
      </c>
      <c r="G356" s="144">
        <f>G340+G343+G346+G353</f>
        <v>1828.1999999999998</v>
      </c>
      <c r="H356" s="144">
        <f>H340+H343+H346+H353</f>
        <v>1827.6</v>
      </c>
      <c r="I356" s="138">
        <f t="shared" si="101"/>
        <v>99.96718083360683</v>
      </c>
      <c r="J356" s="144">
        <f>J340+J343+J346+J353</f>
        <v>196.2</v>
      </c>
      <c r="K356" s="144">
        <f>K340+K343+K346+K353</f>
        <v>185.858</v>
      </c>
      <c r="L356" s="144">
        <f>L340+L343+L346+L353</f>
        <v>157.7</v>
      </c>
      <c r="M356" s="144">
        <f>M340+M343+M346+M353</f>
        <v>0</v>
      </c>
      <c r="N356" s="117" t="e">
        <f>N340+N343+N346+N353</f>
        <v>#REF!</v>
      </c>
      <c r="O356" s="147">
        <f t="shared" si="94"/>
        <v>80.37716615698267</v>
      </c>
      <c r="P356" s="139">
        <f t="shared" si="102"/>
        <v>2024.3999999999999</v>
      </c>
      <c r="Q356" s="158">
        <f t="shared" si="103"/>
        <v>1985.3</v>
      </c>
      <c r="R356" s="158">
        <f t="shared" si="104"/>
        <v>-39.09999999999991</v>
      </c>
      <c r="S356" s="159">
        <f t="shared" si="105"/>
        <v>98.06856352499507</v>
      </c>
    </row>
    <row r="357" spans="3:19" s="46" customFormat="1" ht="83.25" customHeight="1">
      <c r="C357" s="28" t="s">
        <v>180</v>
      </c>
      <c r="D357" s="28"/>
      <c r="E357" s="28"/>
      <c r="F357" s="44" t="s">
        <v>118</v>
      </c>
      <c r="G357" s="139"/>
      <c r="H357" s="139"/>
      <c r="I357" s="138"/>
      <c r="J357" s="139"/>
      <c r="K357" s="139"/>
      <c r="L357" s="139"/>
      <c r="M357" s="139"/>
      <c r="N357" s="114"/>
      <c r="O357" s="147"/>
      <c r="P357" s="139"/>
      <c r="Q357" s="158"/>
      <c r="R357" s="158"/>
      <c r="S357" s="159"/>
    </row>
    <row r="358" spans="3:19" s="6" customFormat="1" ht="85.5" customHeight="1">
      <c r="C358" s="85" t="s">
        <v>181</v>
      </c>
      <c r="D358" s="30"/>
      <c r="E358" s="30"/>
      <c r="F358" s="44" t="s">
        <v>119</v>
      </c>
      <c r="G358" s="138"/>
      <c r="H358" s="138"/>
      <c r="I358" s="138"/>
      <c r="J358" s="138"/>
      <c r="K358" s="138"/>
      <c r="L358" s="138"/>
      <c r="M358" s="138"/>
      <c r="N358" s="112"/>
      <c r="O358" s="147"/>
      <c r="P358" s="139"/>
      <c r="Q358" s="158"/>
      <c r="R358" s="158"/>
      <c r="S358" s="159"/>
    </row>
    <row r="359" spans="3:19" s="46" customFormat="1" ht="35.25" customHeight="1">
      <c r="C359" s="28"/>
      <c r="D359" s="28"/>
      <c r="E359" s="28"/>
      <c r="F359" s="29" t="s">
        <v>351</v>
      </c>
      <c r="G359" s="139">
        <f>G360</f>
        <v>2512.9</v>
      </c>
      <c r="H359" s="139">
        <f>H360</f>
        <v>2512.7</v>
      </c>
      <c r="I359" s="138">
        <f t="shared" si="101"/>
        <v>99.99204106808865</v>
      </c>
      <c r="J359" s="139">
        <f>J360</f>
        <v>50.7</v>
      </c>
      <c r="K359" s="139">
        <f aca="true" t="shared" si="112" ref="K359:N360">K360</f>
        <v>0</v>
      </c>
      <c r="L359" s="139">
        <f t="shared" si="112"/>
        <v>50.7</v>
      </c>
      <c r="M359" s="139">
        <f t="shared" si="112"/>
        <v>50.7</v>
      </c>
      <c r="N359" s="114">
        <f t="shared" si="112"/>
        <v>0</v>
      </c>
      <c r="O359" s="147">
        <f t="shared" si="94"/>
        <v>100</v>
      </c>
      <c r="P359" s="139">
        <f t="shared" si="102"/>
        <v>2563.6</v>
      </c>
      <c r="Q359" s="158">
        <f t="shared" si="103"/>
        <v>2563.3999999999996</v>
      </c>
      <c r="R359" s="158">
        <f t="shared" si="104"/>
        <v>-0.20000000000027285</v>
      </c>
      <c r="S359" s="159">
        <f t="shared" si="105"/>
        <v>99.99219847090029</v>
      </c>
    </row>
    <row r="360" spans="1:19" s="6" customFormat="1" ht="61.5" customHeight="1">
      <c r="A360" s="6">
        <v>8</v>
      </c>
      <c r="B360" s="6">
        <v>57</v>
      </c>
      <c r="C360" s="30" t="s">
        <v>182</v>
      </c>
      <c r="D360" s="30" t="s">
        <v>64</v>
      </c>
      <c r="E360" s="30" t="s">
        <v>60</v>
      </c>
      <c r="F360" s="31" t="s">
        <v>172</v>
      </c>
      <c r="G360" s="138">
        <f>G361</f>
        <v>2512.9</v>
      </c>
      <c r="H360" s="138">
        <f>H361</f>
        <v>2512.7</v>
      </c>
      <c r="I360" s="138">
        <f t="shared" si="101"/>
        <v>99.99204106808865</v>
      </c>
      <c r="J360" s="138">
        <f>J361</f>
        <v>50.7</v>
      </c>
      <c r="K360" s="138">
        <f t="shared" si="112"/>
        <v>0</v>
      </c>
      <c r="L360" s="138">
        <f t="shared" si="112"/>
        <v>50.7</v>
      </c>
      <c r="M360" s="138">
        <f t="shared" si="112"/>
        <v>50.7</v>
      </c>
      <c r="N360" s="112">
        <f t="shared" si="112"/>
        <v>0</v>
      </c>
      <c r="O360" s="147">
        <f t="shared" si="94"/>
        <v>100</v>
      </c>
      <c r="P360" s="139">
        <f t="shared" si="102"/>
        <v>2563.6</v>
      </c>
      <c r="Q360" s="158">
        <f t="shared" si="103"/>
        <v>2563.3999999999996</v>
      </c>
      <c r="R360" s="158">
        <f t="shared" si="104"/>
        <v>-0.20000000000027285</v>
      </c>
      <c r="S360" s="159">
        <f t="shared" si="105"/>
        <v>99.99219847090029</v>
      </c>
    </row>
    <row r="361" spans="3:19" s="37" customFormat="1" ht="62.25" customHeight="1">
      <c r="C361" s="33"/>
      <c r="D361" s="33"/>
      <c r="E361" s="33"/>
      <c r="F361" s="42" t="s">
        <v>183</v>
      </c>
      <c r="G361" s="140">
        <v>2512.9</v>
      </c>
      <c r="H361" s="140">
        <v>2512.7</v>
      </c>
      <c r="I361" s="138">
        <f t="shared" si="101"/>
        <v>99.99204106808865</v>
      </c>
      <c r="J361" s="138">
        <v>50.7</v>
      </c>
      <c r="K361" s="140"/>
      <c r="L361" s="140">
        <v>50.7</v>
      </c>
      <c r="M361" s="140">
        <v>50.7</v>
      </c>
      <c r="N361" s="115"/>
      <c r="O361" s="147">
        <f t="shared" si="94"/>
        <v>100</v>
      </c>
      <c r="P361" s="139">
        <f t="shared" si="102"/>
        <v>2563.6</v>
      </c>
      <c r="Q361" s="158">
        <f t="shared" si="103"/>
        <v>2563.3999999999996</v>
      </c>
      <c r="R361" s="158">
        <f t="shared" si="104"/>
        <v>-0.20000000000027285</v>
      </c>
      <c r="S361" s="159">
        <f t="shared" si="105"/>
        <v>99.99219847090029</v>
      </c>
    </row>
    <row r="362" spans="3:19" s="70" customFormat="1" ht="31.5" customHeight="1">
      <c r="C362" s="28"/>
      <c r="D362" s="28"/>
      <c r="E362" s="28"/>
      <c r="F362" s="29" t="s">
        <v>379</v>
      </c>
      <c r="G362" s="148">
        <f>G363</f>
        <v>73.6</v>
      </c>
      <c r="H362" s="148">
        <f aca="true" t="shared" si="113" ref="H362:N363">H363</f>
        <v>73.6</v>
      </c>
      <c r="I362" s="161">
        <f t="shared" si="101"/>
        <v>100</v>
      </c>
      <c r="J362" s="139">
        <f>J363</f>
        <v>1684.4</v>
      </c>
      <c r="K362" s="148">
        <f t="shared" si="113"/>
        <v>0</v>
      </c>
      <c r="L362" s="148">
        <f t="shared" si="113"/>
        <v>1684.4</v>
      </c>
      <c r="M362" s="148">
        <f t="shared" si="113"/>
        <v>1684.4</v>
      </c>
      <c r="N362" s="124">
        <f t="shared" si="113"/>
        <v>1000</v>
      </c>
      <c r="O362" s="147">
        <f t="shared" si="94"/>
        <v>100</v>
      </c>
      <c r="P362" s="139">
        <f t="shared" si="102"/>
        <v>1758</v>
      </c>
      <c r="Q362" s="158">
        <f t="shared" si="103"/>
        <v>1758</v>
      </c>
      <c r="R362" s="158">
        <f t="shared" si="104"/>
        <v>0</v>
      </c>
      <c r="S362" s="159">
        <f t="shared" si="105"/>
        <v>100</v>
      </c>
    </row>
    <row r="363" spans="3:19" s="37" customFormat="1" ht="62.25" customHeight="1">
      <c r="C363" s="30" t="s">
        <v>555</v>
      </c>
      <c r="D363" s="30" t="s">
        <v>444</v>
      </c>
      <c r="E363" s="30" t="s">
        <v>62</v>
      </c>
      <c r="F363" s="31" t="s">
        <v>337</v>
      </c>
      <c r="G363" s="140">
        <f>G364</f>
        <v>73.6</v>
      </c>
      <c r="H363" s="140">
        <f t="shared" si="113"/>
        <v>73.6</v>
      </c>
      <c r="I363" s="161">
        <f t="shared" si="101"/>
        <v>100</v>
      </c>
      <c r="J363" s="138">
        <f>J364</f>
        <v>1684.4</v>
      </c>
      <c r="K363" s="140">
        <f t="shared" si="113"/>
        <v>0</v>
      </c>
      <c r="L363" s="140">
        <f t="shared" si="113"/>
        <v>1684.4</v>
      </c>
      <c r="M363" s="140">
        <f t="shared" si="113"/>
        <v>1684.4</v>
      </c>
      <c r="N363" s="49">
        <f t="shared" si="113"/>
        <v>1000</v>
      </c>
      <c r="O363" s="147">
        <f aca="true" t="shared" si="114" ref="O363:O368">L363/J363*100</f>
        <v>100</v>
      </c>
      <c r="P363" s="139">
        <f t="shared" si="102"/>
        <v>1758</v>
      </c>
      <c r="Q363" s="158">
        <f t="shared" si="103"/>
        <v>1758</v>
      </c>
      <c r="R363" s="158">
        <f t="shared" si="104"/>
        <v>0</v>
      </c>
      <c r="S363" s="159">
        <f t="shared" si="105"/>
        <v>100</v>
      </c>
    </row>
    <row r="364" spans="3:19" s="37" customFormat="1" ht="81.75" customHeight="1">
      <c r="C364" s="33"/>
      <c r="D364" s="33"/>
      <c r="E364" s="33"/>
      <c r="F364" s="42" t="s">
        <v>128</v>
      </c>
      <c r="G364" s="140">
        <v>73.6</v>
      </c>
      <c r="H364" s="140">
        <v>73.6</v>
      </c>
      <c r="I364" s="161">
        <f t="shared" si="101"/>
        <v>100</v>
      </c>
      <c r="J364" s="138">
        <v>1684.4</v>
      </c>
      <c r="K364" s="140"/>
      <c r="L364" s="140">
        <v>1684.4</v>
      </c>
      <c r="M364" s="140">
        <v>1684.4</v>
      </c>
      <c r="N364" s="115">
        <v>1000</v>
      </c>
      <c r="O364" s="147">
        <f t="shared" si="114"/>
        <v>100</v>
      </c>
      <c r="P364" s="139">
        <f t="shared" si="102"/>
        <v>1758</v>
      </c>
      <c r="Q364" s="158">
        <f t="shared" si="103"/>
        <v>1758</v>
      </c>
      <c r="R364" s="158">
        <f t="shared" si="104"/>
        <v>0</v>
      </c>
      <c r="S364" s="159">
        <f t="shared" si="105"/>
        <v>100</v>
      </c>
    </row>
    <row r="365" spans="3:19" s="46" customFormat="1" ht="39" customHeight="1">
      <c r="C365" s="28"/>
      <c r="D365" s="28"/>
      <c r="E365" s="28"/>
      <c r="F365" s="66" t="s">
        <v>378</v>
      </c>
      <c r="G365" s="139">
        <f>G366+G369+G370</f>
        <v>1035.8</v>
      </c>
      <c r="H365" s="139">
        <f>H366+H369+H370</f>
        <v>1035.4</v>
      </c>
      <c r="I365" s="138">
        <f t="shared" si="101"/>
        <v>99.96138250627536</v>
      </c>
      <c r="J365" s="139">
        <f>J366+J369+J370</f>
        <v>34.7</v>
      </c>
      <c r="K365" s="139">
        <f>K366+K369+K370</f>
        <v>0</v>
      </c>
      <c r="L365" s="139">
        <f>L366+L369+L370</f>
        <v>34.7</v>
      </c>
      <c r="M365" s="139">
        <f>M366+M369+M370</f>
        <v>34.7</v>
      </c>
      <c r="N365" s="114" t="e">
        <f>#REF!</f>
        <v>#REF!</v>
      </c>
      <c r="O365" s="147">
        <f t="shared" si="114"/>
        <v>100</v>
      </c>
      <c r="P365" s="139">
        <f t="shared" si="102"/>
        <v>1070.5</v>
      </c>
      <c r="Q365" s="158">
        <f t="shared" si="103"/>
        <v>1070.1000000000001</v>
      </c>
      <c r="R365" s="158">
        <f t="shared" si="104"/>
        <v>-0.3999999999998636</v>
      </c>
      <c r="S365" s="159">
        <f t="shared" si="105"/>
        <v>99.96263428304532</v>
      </c>
    </row>
    <row r="366" spans="1:19" s="6" customFormat="1" ht="43.5" customHeight="1">
      <c r="A366" s="46">
        <v>2</v>
      </c>
      <c r="B366" s="6">
        <v>60</v>
      </c>
      <c r="C366" s="30" t="s">
        <v>371</v>
      </c>
      <c r="D366" s="30" t="s">
        <v>338</v>
      </c>
      <c r="E366" s="30" t="s">
        <v>112</v>
      </c>
      <c r="F366" s="31" t="s">
        <v>572</v>
      </c>
      <c r="G366" s="138">
        <f>SUM(G367:G368)</f>
        <v>377.5</v>
      </c>
      <c r="H366" s="138">
        <f>H367</f>
        <v>377.3</v>
      </c>
      <c r="I366" s="138">
        <f t="shared" si="101"/>
        <v>99.94701986754967</v>
      </c>
      <c r="J366" s="138">
        <f>J367</f>
        <v>34.7</v>
      </c>
      <c r="K366" s="138">
        <f>SUM(K367:K368)</f>
        <v>0</v>
      </c>
      <c r="L366" s="138">
        <f>SUM(L367:L368)</f>
        <v>34.7</v>
      </c>
      <c r="M366" s="138">
        <f>SUM(M367:M368)</f>
        <v>34.7</v>
      </c>
      <c r="N366" s="112">
        <f>SUM(N367:N368)</f>
        <v>37.5</v>
      </c>
      <c r="O366" s="147">
        <f t="shared" si="114"/>
        <v>100</v>
      </c>
      <c r="P366" s="139">
        <f t="shared" si="102"/>
        <v>412.2</v>
      </c>
      <c r="Q366" s="158">
        <f t="shared" si="103"/>
        <v>412</v>
      </c>
      <c r="R366" s="158">
        <f t="shared" si="104"/>
        <v>-0.19999999999998863</v>
      </c>
      <c r="S366" s="159">
        <f t="shared" si="105"/>
        <v>99.95147986414362</v>
      </c>
    </row>
    <row r="367" spans="1:19" s="37" customFormat="1" ht="89.25" customHeight="1">
      <c r="A367" s="70"/>
      <c r="C367" s="33"/>
      <c r="D367" s="33"/>
      <c r="E367" s="33"/>
      <c r="F367" s="42" t="s">
        <v>526</v>
      </c>
      <c r="G367" s="142">
        <v>377.5</v>
      </c>
      <c r="H367" s="142">
        <v>377.3</v>
      </c>
      <c r="I367" s="138">
        <f t="shared" si="101"/>
        <v>99.94701986754967</v>
      </c>
      <c r="J367" s="142">
        <v>34.7</v>
      </c>
      <c r="K367" s="146"/>
      <c r="L367" s="142">
        <v>34.7</v>
      </c>
      <c r="M367" s="142">
        <v>34.7</v>
      </c>
      <c r="N367" s="113">
        <v>37.5</v>
      </c>
      <c r="O367" s="147">
        <f t="shared" si="114"/>
        <v>100</v>
      </c>
      <c r="P367" s="139">
        <f t="shared" si="102"/>
        <v>412.2</v>
      </c>
      <c r="Q367" s="158">
        <f t="shared" si="103"/>
        <v>412</v>
      </c>
      <c r="R367" s="158">
        <f t="shared" si="104"/>
        <v>-0.19999999999998863</v>
      </c>
      <c r="S367" s="159">
        <f t="shared" si="105"/>
        <v>99.95147986414362</v>
      </c>
    </row>
    <row r="368" spans="1:19" s="37" customFormat="1" ht="25.5" customHeight="1" hidden="1">
      <c r="A368" s="70"/>
      <c r="C368" s="34"/>
      <c r="D368" s="34"/>
      <c r="E368" s="34"/>
      <c r="F368" s="42" t="s">
        <v>25</v>
      </c>
      <c r="G368" s="142"/>
      <c r="H368" s="142"/>
      <c r="I368" s="138" t="e">
        <f t="shared" si="101"/>
        <v>#DIV/0!</v>
      </c>
      <c r="J368" s="142">
        <f aca="true" t="shared" si="115" ref="J368:J376">K368+N368</f>
        <v>0</v>
      </c>
      <c r="K368" s="146"/>
      <c r="L368" s="142"/>
      <c r="M368" s="142"/>
      <c r="N368" s="113"/>
      <c r="O368" s="147" t="e">
        <f t="shared" si="114"/>
        <v>#DIV/0!</v>
      </c>
      <c r="P368" s="139">
        <f t="shared" si="102"/>
        <v>0</v>
      </c>
      <c r="Q368" s="158">
        <f t="shared" si="103"/>
        <v>0</v>
      </c>
      <c r="R368" s="158">
        <f t="shared" si="104"/>
        <v>0</v>
      </c>
      <c r="S368" s="159" t="e">
        <f t="shared" si="105"/>
        <v>#DIV/0!</v>
      </c>
    </row>
    <row r="369" spans="1:19" s="6" customFormat="1" ht="48.75" customHeight="1">
      <c r="A369" s="46">
        <v>3</v>
      </c>
      <c r="B369" s="6">
        <v>59</v>
      </c>
      <c r="C369" s="30" t="s">
        <v>372</v>
      </c>
      <c r="D369" s="30" t="s">
        <v>103</v>
      </c>
      <c r="E369" s="30" t="s">
        <v>112</v>
      </c>
      <c r="F369" s="31" t="s">
        <v>373</v>
      </c>
      <c r="G369" s="138">
        <v>627.3</v>
      </c>
      <c r="H369" s="138">
        <v>627.1</v>
      </c>
      <c r="I369" s="138">
        <f t="shared" si="101"/>
        <v>99.96811732823213</v>
      </c>
      <c r="J369" s="138">
        <f t="shared" si="115"/>
        <v>0</v>
      </c>
      <c r="K369" s="143"/>
      <c r="L369" s="138"/>
      <c r="M369" s="138"/>
      <c r="N369" s="112"/>
      <c r="O369" s="147"/>
      <c r="P369" s="139">
        <f t="shared" si="102"/>
        <v>627.3</v>
      </c>
      <c r="Q369" s="158">
        <f t="shared" si="103"/>
        <v>627.1</v>
      </c>
      <c r="R369" s="158">
        <f t="shared" si="104"/>
        <v>-0.1999999999999318</v>
      </c>
      <c r="S369" s="159">
        <f t="shared" si="105"/>
        <v>99.96811732823213</v>
      </c>
    </row>
    <row r="370" spans="1:19" s="6" customFormat="1" ht="31.5" customHeight="1">
      <c r="A370" s="46"/>
      <c r="C370" s="30" t="s">
        <v>375</v>
      </c>
      <c r="D370" s="30" t="s">
        <v>376</v>
      </c>
      <c r="E370" s="30" t="s">
        <v>111</v>
      </c>
      <c r="F370" s="31" t="s">
        <v>377</v>
      </c>
      <c r="G370" s="138">
        <f>G371</f>
        <v>31</v>
      </c>
      <c r="H370" s="138">
        <f aca="true" t="shared" si="116" ref="H370:N370">H371</f>
        <v>31</v>
      </c>
      <c r="I370" s="138">
        <f t="shared" si="101"/>
        <v>100</v>
      </c>
      <c r="J370" s="138">
        <f t="shared" si="115"/>
        <v>0</v>
      </c>
      <c r="K370" s="138">
        <f t="shared" si="116"/>
        <v>0</v>
      </c>
      <c r="L370" s="138">
        <f t="shared" si="116"/>
        <v>0</v>
      </c>
      <c r="M370" s="138">
        <f t="shared" si="116"/>
        <v>0</v>
      </c>
      <c r="N370" s="112">
        <f t="shared" si="116"/>
        <v>0</v>
      </c>
      <c r="O370" s="147"/>
      <c r="P370" s="139">
        <f t="shared" si="102"/>
        <v>31</v>
      </c>
      <c r="Q370" s="158">
        <f t="shared" si="103"/>
        <v>31</v>
      </c>
      <c r="R370" s="158">
        <f t="shared" si="104"/>
        <v>0</v>
      </c>
      <c r="S370" s="159">
        <f t="shared" si="105"/>
        <v>100</v>
      </c>
    </row>
    <row r="371" spans="1:19" s="37" customFormat="1" ht="90" customHeight="1">
      <c r="A371" s="70"/>
      <c r="C371" s="33"/>
      <c r="D371" s="33"/>
      <c r="E371" s="33"/>
      <c r="F371" s="42" t="s">
        <v>128</v>
      </c>
      <c r="G371" s="142">
        <v>31</v>
      </c>
      <c r="H371" s="142">
        <v>31</v>
      </c>
      <c r="I371" s="138">
        <f t="shared" si="101"/>
        <v>100</v>
      </c>
      <c r="J371" s="142">
        <f t="shared" si="115"/>
        <v>0</v>
      </c>
      <c r="K371" s="146"/>
      <c r="L371" s="142"/>
      <c r="M371" s="142"/>
      <c r="N371" s="113"/>
      <c r="O371" s="147"/>
      <c r="P371" s="139">
        <f t="shared" si="102"/>
        <v>31</v>
      </c>
      <c r="Q371" s="158">
        <f t="shared" si="103"/>
        <v>31</v>
      </c>
      <c r="R371" s="158">
        <f t="shared" si="104"/>
        <v>0</v>
      </c>
      <c r="S371" s="159">
        <f t="shared" si="105"/>
        <v>100</v>
      </c>
    </row>
    <row r="372" spans="3:19" s="46" customFormat="1" ht="51.75" customHeight="1">
      <c r="C372" s="28"/>
      <c r="D372" s="28"/>
      <c r="E372" s="28"/>
      <c r="F372" s="29" t="s">
        <v>347</v>
      </c>
      <c r="G372" s="139">
        <f>G373</f>
        <v>24</v>
      </c>
      <c r="H372" s="139">
        <f aca="true" t="shared" si="117" ref="H372:N372">H373</f>
        <v>24</v>
      </c>
      <c r="I372" s="138">
        <f t="shared" si="101"/>
        <v>100</v>
      </c>
      <c r="J372" s="139">
        <f>J373</f>
        <v>175</v>
      </c>
      <c r="K372" s="139">
        <f t="shared" si="117"/>
        <v>0</v>
      </c>
      <c r="L372" s="139">
        <f t="shared" si="117"/>
        <v>175</v>
      </c>
      <c r="M372" s="139">
        <f t="shared" si="117"/>
        <v>175</v>
      </c>
      <c r="N372" s="114">
        <f t="shared" si="117"/>
        <v>0</v>
      </c>
      <c r="O372" s="147">
        <f aca="true" t="shared" si="118" ref="O372:O377">L372/J372*100</f>
        <v>100</v>
      </c>
      <c r="P372" s="139">
        <f t="shared" si="102"/>
        <v>199</v>
      </c>
      <c r="Q372" s="158">
        <f t="shared" si="103"/>
        <v>199</v>
      </c>
      <c r="R372" s="158">
        <f t="shared" si="104"/>
        <v>0</v>
      </c>
      <c r="S372" s="159">
        <f t="shared" si="105"/>
        <v>100</v>
      </c>
    </row>
    <row r="373" spans="1:19" s="6" customFormat="1" ht="18.75">
      <c r="A373" s="46"/>
      <c r="C373" s="30" t="s">
        <v>374</v>
      </c>
      <c r="D373" s="30" t="s">
        <v>206</v>
      </c>
      <c r="E373" s="30" t="s">
        <v>59</v>
      </c>
      <c r="F373" s="31" t="s">
        <v>207</v>
      </c>
      <c r="G373" s="138">
        <f>SUM(G374:G376)</f>
        <v>24</v>
      </c>
      <c r="H373" s="138">
        <f>SUM(H374:H376)</f>
        <v>24</v>
      </c>
      <c r="I373" s="138">
        <f t="shared" si="101"/>
        <v>100</v>
      </c>
      <c r="J373" s="138">
        <f>J374</f>
        <v>175</v>
      </c>
      <c r="K373" s="138">
        <f>SUM(K374:K376)</f>
        <v>0</v>
      </c>
      <c r="L373" s="138">
        <f>SUM(L374:L376)</f>
        <v>175</v>
      </c>
      <c r="M373" s="138">
        <f>SUM(M374:M376)</f>
        <v>175</v>
      </c>
      <c r="N373" s="112">
        <f>SUM(N374:N376)</f>
        <v>0</v>
      </c>
      <c r="O373" s="147">
        <f t="shared" si="118"/>
        <v>100</v>
      </c>
      <c r="P373" s="139">
        <f t="shared" si="102"/>
        <v>199</v>
      </c>
      <c r="Q373" s="158">
        <f t="shared" si="103"/>
        <v>199</v>
      </c>
      <c r="R373" s="158">
        <f t="shared" si="104"/>
        <v>0</v>
      </c>
      <c r="S373" s="159">
        <f t="shared" si="105"/>
        <v>100</v>
      </c>
    </row>
    <row r="374" spans="2:19" s="16" customFormat="1" ht="56.25">
      <c r="B374" s="37"/>
      <c r="C374" s="33"/>
      <c r="D374" s="33"/>
      <c r="E374" s="33"/>
      <c r="F374" s="48" t="s">
        <v>36</v>
      </c>
      <c r="G374" s="142">
        <v>24</v>
      </c>
      <c r="H374" s="146">
        <v>24</v>
      </c>
      <c r="I374" s="138">
        <f t="shared" si="101"/>
        <v>100</v>
      </c>
      <c r="J374" s="142">
        <v>175</v>
      </c>
      <c r="K374" s="146"/>
      <c r="L374" s="142">
        <v>175</v>
      </c>
      <c r="M374" s="142">
        <v>175</v>
      </c>
      <c r="N374" s="113"/>
      <c r="O374" s="147">
        <f t="shared" si="118"/>
        <v>100</v>
      </c>
      <c r="P374" s="139">
        <f t="shared" si="102"/>
        <v>199</v>
      </c>
      <c r="Q374" s="158">
        <f t="shared" si="103"/>
        <v>199</v>
      </c>
      <c r="R374" s="158">
        <f t="shared" si="104"/>
        <v>0</v>
      </c>
      <c r="S374" s="159">
        <f t="shared" si="105"/>
        <v>100</v>
      </c>
    </row>
    <row r="375" spans="2:19" s="16" customFormat="1" ht="25.5" customHeight="1" hidden="1">
      <c r="B375" s="37"/>
      <c r="C375" s="33"/>
      <c r="D375" s="33"/>
      <c r="E375" s="33"/>
      <c r="F375" s="48" t="s">
        <v>40</v>
      </c>
      <c r="G375" s="142"/>
      <c r="H375" s="146"/>
      <c r="I375" s="138" t="e">
        <f t="shared" si="101"/>
        <v>#DIV/0!</v>
      </c>
      <c r="J375" s="142">
        <f t="shared" si="115"/>
        <v>0</v>
      </c>
      <c r="K375" s="146"/>
      <c r="L375" s="142"/>
      <c r="M375" s="142"/>
      <c r="N375" s="113"/>
      <c r="O375" s="147" t="e">
        <f t="shared" si="118"/>
        <v>#DIV/0!</v>
      </c>
      <c r="P375" s="139">
        <f t="shared" si="102"/>
        <v>0</v>
      </c>
      <c r="Q375" s="158">
        <f t="shared" si="103"/>
        <v>0</v>
      </c>
      <c r="R375" s="158">
        <f t="shared" si="104"/>
        <v>0</v>
      </c>
      <c r="S375" s="159" t="e">
        <f t="shared" si="105"/>
        <v>#DIV/0!</v>
      </c>
    </row>
    <row r="376" spans="3:19" s="16" customFormat="1" ht="27" customHeight="1" hidden="1">
      <c r="C376" s="33"/>
      <c r="D376" s="33"/>
      <c r="E376" s="33"/>
      <c r="F376" s="48" t="s">
        <v>157</v>
      </c>
      <c r="G376" s="142"/>
      <c r="H376" s="146"/>
      <c r="I376" s="138" t="e">
        <f t="shared" si="101"/>
        <v>#DIV/0!</v>
      </c>
      <c r="J376" s="142">
        <f t="shared" si="115"/>
        <v>0</v>
      </c>
      <c r="K376" s="146"/>
      <c r="L376" s="142"/>
      <c r="M376" s="142"/>
      <c r="N376" s="113"/>
      <c r="O376" s="147" t="e">
        <f t="shared" si="118"/>
        <v>#DIV/0!</v>
      </c>
      <c r="P376" s="139">
        <f t="shared" si="102"/>
        <v>0</v>
      </c>
      <c r="Q376" s="158">
        <f t="shared" si="103"/>
        <v>0</v>
      </c>
      <c r="R376" s="158">
        <f t="shared" si="104"/>
        <v>0</v>
      </c>
      <c r="S376" s="159" t="e">
        <f t="shared" si="105"/>
        <v>#DIV/0!</v>
      </c>
    </row>
    <row r="377" spans="3:19" s="95" customFormat="1" ht="27.75" customHeight="1">
      <c r="C377" s="96"/>
      <c r="D377" s="96"/>
      <c r="E377" s="96"/>
      <c r="F377" s="102" t="s">
        <v>10</v>
      </c>
      <c r="G377" s="144">
        <f>G359+G365+G372+G362</f>
        <v>3646.2999999999997</v>
      </c>
      <c r="H377" s="144">
        <f>H359+H365+H372+H362</f>
        <v>3645.7</v>
      </c>
      <c r="I377" s="138">
        <f t="shared" si="101"/>
        <v>99.98354496338754</v>
      </c>
      <c r="J377" s="144">
        <f>J359+J365+J372+J362</f>
        <v>1944.8000000000002</v>
      </c>
      <c r="K377" s="144">
        <f>K359+K365+K372+K362</f>
        <v>0</v>
      </c>
      <c r="L377" s="144">
        <f>L359+L365+L372+L362</f>
        <v>1944.8000000000002</v>
      </c>
      <c r="M377" s="144">
        <f>M359+M365+M372+M362</f>
        <v>1944.8000000000002</v>
      </c>
      <c r="N377" s="117" t="e">
        <f>N359+N365+N372+N362</f>
        <v>#REF!</v>
      </c>
      <c r="O377" s="147">
        <f t="shared" si="118"/>
        <v>100</v>
      </c>
      <c r="P377" s="139">
        <f t="shared" si="102"/>
        <v>5591.1</v>
      </c>
      <c r="Q377" s="158">
        <f t="shared" si="103"/>
        <v>5590.5</v>
      </c>
      <c r="R377" s="158">
        <f t="shared" si="104"/>
        <v>-0.6000000000003638</v>
      </c>
      <c r="S377" s="159">
        <f t="shared" si="105"/>
        <v>99.98926865911895</v>
      </c>
    </row>
    <row r="378" spans="3:19" s="46" customFormat="1" ht="48.75" customHeight="1">
      <c r="C378" s="28" t="s">
        <v>184</v>
      </c>
      <c r="D378" s="28"/>
      <c r="E378" s="28"/>
      <c r="F378" s="44" t="s">
        <v>50</v>
      </c>
      <c r="G378" s="139"/>
      <c r="H378" s="139"/>
      <c r="I378" s="138"/>
      <c r="J378" s="139"/>
      <c r="K378" s="139"/>
      <c r="L378" s="139"/>
      <c r="M378" s="139"/>
      <c r="N378" s="114"/>
      <c r="O378" s="147"/>
      <c r="P378" s="139"/>
      <c r="Q378" s="158"/>
      <c r="R378" s="158"/>
      <c r="S378" s="159"/>
    </row>
    <row r="379" spans="3:19" s="6" customFormat="1" ht="45.75" customHeight="1">
      <c r="C379" s="85" t="s">
        <v>185</v>
      </c>
      <c r="D379" s="30"/>
      <c r="E379" s="30"/>
      <c r="F379" s="41" t="s">
        <v>51</v>
      </c>
      <c r="G379" s="138"/>
      <c r="H379" s="138"/>
      <c r="I379" s="138"/>
      <c r="J379" s="138"/>
      <c r="K379" s="138"/>
      <c r="L379" s="138"/>
      <c r="M379" s="138"/>
      <c r="N379" s="112"/>
      <c r="O379" s="147"/>
      <c r="P379" s="139"/>
      <c r="Q379" s="158"/>
      <c r="R379" s="158"/>
      <c r="S379" s="159"/>
    </row>
    <row r="380" spans="3:19" s="46" customFormat="1" ht="35.25" customHeight="1">
      <c r="C380" s="28"/>
      <c r="D380" s="28"/>
      <c r="E380" s="28"/>
      <c r="F380" s="29" t="s">
        <v>351</v>
      </c>
      <c r="G380" s="139">
        <f>G381</f>
        <v>4197.5</v>
      </c>
      <c r="H380" s="139">
        <f>H381</f>
        <v>4194.1</v>
      </c>
      <c r="I380" s="138">
        <f t="shared" si="101"/>
        <v>99.91899940440739</v>
      </c>
      <c r="J380" s="139">
        <f>K380+N380</f>
        <v>0</v>
      </c>
      <c r="K380" s="139">
        <f aca="true" t="shared" si="119" ref="K380:N381">K381</f>
        <v>0</v>
      </c>
      <c r="L380" s="139">
        <f t="shared" si="119"/>
        <v>0</v>
      </c>
      <c r="M380" s="139">
        <f t="shared" si="119"/>
        <v>0</v>
      </c>
      <c r="N380" s="114">
        <f t="shared" si="119"/>
        <v>0</v>
      </c>
      <c r="O380" s="147"/>
      <c r="P380" s="139">
        <f t="shared" si="102"/>
        <v>4197.5</v>
      </c>
      <c r="Q380" s="158">
        <f t="shared" si="103"/>
        <v>4194.1</v>
      </c>
      <c r="R380" s="158">
        <f t="shared" si="104"/>
        <v>-3.399999999999636</v>
      </c>
      <c r="S380" s="159">
        <f t="shared" si="105"/>
        <v>99.91899940440739</v>
      </c>
    </row>
    <row r="381" spans="1:19" s="6" customFormat="1" ht="72" customHeight="1">
      <c r="A381" s="6">
        <v>6</v>
      </c>
      <c r="B381" s="6">
        <v>45</v>
      </c>
      <c r="C381" s="30" t="s">
        <v>455</v>
      </c>
      <c r="D381" s="30" t="s">
        <v>64</v>
      </c>
      <c r="E381" s="30" t="s">
        <v>60</v>
      </c>
      <c r="F381" s="31" t="s">
        <v>172</v>
      </c>
      <c r="G381" s="138">
        <f>G382</f>
        <v>4197.5</v>
      </c>
      <c r="H381" s="138">
        <f>H382</f>
        <v>4194.1</v>
      </c>
      <c r="I381" s="138">
        <f t="shared" si="101"/>
        <v>99.91899940440739</v>
      </c>
      <c r="J381" s="138">
        <f aca="true" t="shared" si="120" ref="J381:J401">K381+N381</f>
        <v>0</v>
      </c>
      <c r="K381" s="138">
        <f t="shared" si="119"/>
        <v>0</v>
      </c>
      <c r="L381" s="138">
        <f t="shared" si="119"/>
        <v>0</v>
      </c>
      <c r="M381" s="138">
        <f t="shared" si="119"/>
        <v>0</v>
      </c>
      <c r="N381" s="112">
        <f t="shared" si="119"/>
        <v>0</v>
      </c>
      <c r="O381" s="147"/>
      <c r="P381" s="139">
        <f t="shared" si="102"/>
        <v>4197.5</v>
      </c>
      <c r="Q381" s="158">
        <f t="shared" si="103"/>
        <v>4194.1</v>
      </c>
      <c r="R381" s="158">
        <f t="shared" si="104"/>
        <v>-3.399999999999636</v>
      </c>
      <c r="S381" s="159">
        <f t="shared" si="105"/>
        <v>99.91899940440739</v>
      </c>
    </row>
    <row r="382" spans="3:19" s="37" customFormat="1" ht="46.5" customHeight="1">
      <c r="C382" s="33"/>
      <c r="D382" s="33"/>
      <c r="E382" s="33"/>
      <c r="F382" s="42" t="s">
        <v>186</v>
      </c>
      <c r="G382" s="142">
        <v>4197.5</v>
      </c>
      <c r="H382" s="140">
        <v>4194.1</v>
      </c>
      <c r="I382" s="138">
        <f t="shared" si="101"/>
        <v>99.91899940440739</v>
      </c>
      <c r="J382" s="142">
        <f t="shared" si="120"/>
        <v>0</v>
      </c>
      <c r="K382" s="140"/>
      <c r="L382" s="140"/>
      <c r="M382" s="140"/>
      <c r="N382" s="115"/>
      <c r="O382" s="147"/>
      <c r="P382" s="139">
        <f t="shared" si="102"/>
        <v>4197.5</v>
      </c>
      <c r="Q382" s="158">
        <f t="shared" si="103"/>
        <v>4194.1</v>
      </c>
      <c r="R382" s="158">
        <f t="shared" si="104"/>
        <v>-3.399999999999636</v>
      </c>
      <c r="S382" s="159">
        <f t="shared" si="105"/>
        <v>99.91899940440739</v>
      </c>
    </row>
    <row r="383" spans="3:19" s="37" customFormat="1" ht="46.5" customHeight="1" hidden="1">
      <c r="C383" s="92" t="s">
        <v>456</v>
      </c>
      <c r="D383" s="92" t="s">
        <v>313</v>
      </c>
      <c r="E383" s="92"/>
      <c r="F383" s="66" t="s">
        <v>314</v>
      </c>
      <c r="G383" s="139">
        <f>G384</f>
        <v>0</v>
      </c>
      <c r="H383" s="139">
        <f aca="true" t="shared" si="121" ref="H383:N383">H384</f>
        <v>0</v>
      </c>
      <c r="I383" s="138" t="e">
        <f t="shared" si="101"/>
        <v>#DIV/0!</v>
      </c>
      <c r="J383" s="139">
        <f>J384</f>
        <v>0</v>
      </c>
      <c r="K383" s="139">
        <f t="shared" si="121"/>
        <v>0</v>
      </c>
      <c r="L383" s="139">
        <f t="shared" si="121"/>
        <v>0</v>
      </c>
      <c r="M383" s="139">
        <f t="shared" si="121"/>
        <v>0</v>
      </c>
      <c r="N383" s="60">
        <f t="shared" si="121"/>
        <v>0</v>
      </c>
      <c r="O383" s="147"/>
      <c r="P383" s="139">
        <f t="shared" si="102"/>
        <v>0</v>
      </c>
      <c r="Q383" s="158">
        <f t="shared" si="103"/>
        <v>0</v>
      </c>
      <c r="R383" s="158">
        <f t="shared" si="104"/>
        <v>0</v>
      </c>
      <c r="S383" s="159" t="e">
        <f t="shared" si="105"/>
        <v>#DIV/0!</v>
      </c>
    </row>
    <row r="384" spans="3:19" s="37" customFormat="1" ht="46.5" customHeight="1" hidden="1">
      <c r="C384" s="4" t="s">
        <v>457</v>
      </c>
      <c r="D384" s="4" t="s">
        <v>140</v>
      </c>
      <c r="E384" s="4" t="s">
        <v>141</v>
      </c>
      <c r="F384" s="39" t="s">
        <v>392</v>
      </c>
      <c r="G384" s="138">
        <f>G385</f>
        <v>0</v>
      </c>
      <c r="H384" s="138">
        <f>H385</f>
        <v>0</v>
      </c>
      <c r="I384" s="138" t="e">
        <f t="shared" si="101"/>
        <v>#DIV/0!</v>
      </c>
      <c r="J384" s="138">
        <f>J385</f>
        <v>0</v>
      </c>
      <c r="K384" s="138">
        <f>K385</f>
        <v>0</v>
      </c>
      <c r="L384" s="138">
        <f>L385</f>
        <v>0</v>
      </c>
      <c r="M384" s="138">
        <f>M385</f>
        <v>0</v>
      </c>
      <c r="N384" s="12">
        <f>N385</f>
        <v>0</v>
      </c>
      <c r="O384" s="147"/>
      <c r="P384" s="139">
        <f t="shared" si="102"/>
        <v>0</v>
      </c>
      <c r="Q384" s="158">
        <f t="shared" si="103"/>
        <v>0</v>
      </c>
      <c r="R384" s="158">
        <f t="shared" si="104"/>
        <v>0</v>
      </c>
      <c r="S384" s="159" t="e">
        <f t="shared" si="105"/>
        <v>#DIV/0!</v>
      </c>
    </row>
    <row r="385" spans="3:19" s="37" customFormat="1" ht="141" customHeight="1" hidden="1">
      <c r="C385" s="4"/>
      <c r="D385" s="4"/>
      <c r="E385" s="4"/>
      <c r="F385" s="48" t="s">
        <v>561</v>
      </c>
      <c r="G385" s="138"/>
      <c r="H385" s="138"/>
      <c r="I385" s="138" t="e">
        <f t="shared" si="101"/>
        <v>#DIV/0!</v>
      </c>
      <c r="J385" s="138">
        <f>J386</f>
        <v>0</v>
      </c>
      <c r="K385" s="138"/>
      <c r="L385" s="138"/>
      <c r="M385" s="138"/>
      <c r="N385" s="112"/>
      <c r="O385" s="147"/>
      <c r="P385" s="139">
        <f t="shared" si="102"/>
        <v>0</v>
      </c>
      <c r="Q385" s="158">
        <f t="shared" si="103"/>
        <v>0</v>
      </c>
      <c r="R385" s="158">
        <f t="shared" si="104"/>
        <v>0</v>
      </c>
      <c r="S385" s="159" t="e">
        <f t="shared" si="105"/>
        <v>#DIV/0!</v>
      </c>
    </row>
    <row r="386" spans="3:19" s="46" customFormat="1" ht="34.5" customHeight="1" hidden="1">
      <c r="C386" s="28" t="s">
        <v>380</v>
      </c>
      <c r="D386" s="28" t="s">
        <v>341</v>
      </c>
      <c r="E386" s="28"/>
      <c r="F386" s="29" t="s">
        <v>342</v>
      </c>
      <c r="G386" s="139">
        <f>G387+G389</f>
        <v>0</v>
      </c>
      <c r="H386" s="139">
        <f aca="true" t="shared" si="122" ref="H386:N386">H387+H389</f>
        <v>0</v>
      </c>
      <c r="I386" s="138" t="e">
        <f aca="true" t="shared" si="123" ref="I386:I403">H386/G386*100</f>
        <v>#DIV/0!</v>
      </c>
      <c r="J386" s="139">
        <f t="shared" si="120"/>
        <v>0</v>
      </c>
      <c r="K386" s="139">
        <f t="shared" si="122"/>
        <v>0</v>
      </c>
      <c r="L386" s="139">
        <f t="shared" si="122"/>
        <v>0</v>
      </c>
      <c r="M386" s="139">
        <f t="shared" si="122"/>
        <v>0</v>
      </c>
      <c r="N386" s="114">
        <f t="shared" si="122"/>
        <v>0</v>
      </c>
      <c r="O386" s="147"/>
      <c r="P386" s="139">
        <f aca="true" t="shared" si="124" ref="P386:P403">G386+J386</f>
        <v>0</v>
      </c>
      <c r="Q386" s="158">
        <f aca="true" t="shared" si="125" ref="Q386:Q403">H386+L386</f>
        <v>0</v>
      </c>
      <c r="R386" s="158">
        <f aca="true" t="shared" si="126" ref="R386:R403">Q386-P386</f>
        <v>0</v>
      </c>
      <c r="S386" s="159" t="e">
        <f aca="true" t="shared" si="127" ref="S386:S403">Q386/P386*100</f>
        <v>#DIV/0!</v>
      </c>
    </row>
    <row r="387" spans="3:19" s="6" customFormat="1" ht="28.5" customHeight="1" hidden="1">
      <c r="C387" s="30" t="s">
        <v>383</v>
      </c>
      <c r="D387" s="30" t="s">
        <v>384</v>
      </c>
      <c r="E387" s="30"/>
      <c r="F387" s="31" t="s">
        <v>385</v>
      </c>
      <c r="G387" s="138">
        <f>G388</f>
        <v>0</v>
      </c>
      <c r="H387" s="138">
        <f aca="true" t="shared" si="128" ref="H387:N387">H388</f>
        <v>0</v>
      </c>
      <c r="I387" s="138" t="e">
        <f t="shared" si="123"/>
        <v>#DIV/0!</v>
      </c>
      <c r="J387" s="138">
        <f t="shared" si="120"/>
        <v>0</v>
      </c>
      <c r="K387" s="138">
        <f t="shared" si="128"/>
        <v>0</v>
      </c>
      <c r="L387" s="138">
        <f t="shared" si="128"/>
        <v>0</v>
      </c>
      <c r="M387" s="138">
        <f t="shared" si="128"/>
        <v>0</v>
      </c>
      <c r="N387" s="112">
        <f t="shared" si="128"/>
        <v>0</v>
      </c>
      <c r="O387" s="147"/>
      <c r="P387" s="139">
        <f t="shared" si="124"/>
        <v>0</v>
      </c>
      <c r="Q387" s="158">
        <f t="shared" si="125"/>
        <v>0</v>
      </c>
      <c r="R387" s="158">
        <f t="shared" si="126"/>
        <v>0</v>
      </c>
      <c r="S387" s="159" t="e">
        <f t="shared" si="127"/>
        <v>#DIV/0!</v>
      </c>
    </row>
    <row r="388" spans="3:19" s="37" customFormat="1" ht="265.5" customHeight="1" hidden="1">
      <c r="C388" s="33" t="s">
        <v>381</v>
      </c>
      <c r="D388" s="33" t="s">
        <v>382</v>
      </c>
      <c r="E388" s="33" t="s">
        <v>147</v>
      </c>
      <c r="F388" s="42" t="s">
        <v>454</v>
      </c>
      <c r="G388" s="142"/>
      <c r="H388" s="140"/>
      <c r="I388" s="138" t="e">
        <f t="shared" si="123"/>
        <v>#DIV/0!</v>
      </c>
      <c r="J388" s="138">
        <f t="shared" si="120"/>
        <v>0</v>
      </c>
      <c r="K388" s="140"/>
      <c r="L388" s="140"/>
      <c r="M388" s="140"/>
      <c r="N388" s="115"/>
      <c r="O388" s="147"/>
      <c r="P388" s="139">
        <f t="shared" si="124"/>
        <v>0</v>
      </c>
      <c r="Q388" s="158">
        <f t="shared" si="125"/>
        <v>0</v>
      </c>
      <c r="R388" s="158">
        <f t="shared" si="126"/>
        <v>0</v>
      </c>
      <c r="S388" s="159" t="e">
        <f t="shared" si="127"/>
        <v>#DIV/0!</v>
      </c>
    </row>
    <row r="389" spans="3:19" s="6" customFormat="1" ht="43.5" customHeight="1" hidden="1">
      <c r="C389" s="30" t="s">
        <v>450</v>
      </c>
      <c r="D389" s="30" t="s">
        <v>451</v>
      </c>
      <c r="E389" s="30" t="s">
        <v>147</v>
      </c>
      <c r="F389" s="31" t="s">
        <v>452</v>
      </c>
      <c r="G389" s="138">
        <f>G390</f>
        <v>0</v>
      </c>
      <c r="H389" s="138">
        <f aca="true" t="shared" si="129" ref="H389:N389">H390</f>
        <v>0</v>
      </c>
      <c r="I389" s="138" t="e">
        <f t="shared" si="123"/>
        <v>#DIV/0!</v>
      </c>
      <c r="J389" s="138">
        <f t="shared" si="120"/>
        <v>0</v>
      </c>
      <c r="K389" s="138">
        <f t="shared" si="129"/>
        <v>0</v>
      </c>
      <c r="L389" s="138">
        <f t="shared" si="129"/>
        <v>0</v>
      </c>
      <c r="M389" s="138">
        <f t="shared" si="129"/>
        <v>0</v>
      </c>
      <c r="N389" s="112">
        <f t="shared" si="129"/>
        <v>0</v>
      </c>
      <c r="O389" s="147"/>
      <c r="P389" s="139">
        <f t="shared" si="124"/>
        <v>0</v>
      </c>
      <c r="Q389" s="158">
        <f t="shared" si="125"/>
        <v>0</v>
      </c>
      <c r="R389" s="158">
        <f t="shared" si="126"/>
        <v>0</v>
      </c>
      <c r="S389" s="159" t="e">
        <f t="shared" si="127"/>
        <v>#DIV/0!</v>
      </c>
    </row>
    <row r="390" spans="3:19" s="37" customFormat="1" ht="99" customHeight="1" hidden="1">
      <c r="C390" s="33"/>
      <c r="D390" s="33"/>
      <c r="E390" s="33"/>
      <c r="F390" s="42" t="s">
        <v>453</v>
      </c>
      <c r="G390" s="142">
        <f>21675+11131.8-32806.8</f>
        <v>0</v>
      </c>
      <c r="H390" s="140"/>
      <c r="I390" s="138" t="e">
        <f t="shared" si="123"/>
        <v>#DIV/0!</v>
      </c>
      <c r="J390" s="142">
        <f t="shared" si="120"/>
        <v>0</v>
      </c>
      <c r="K390" s="140"/>
      <c r="L390" s="140"/>
      <c r="M390" s="140"/>
      <c r="N390" s="115"/>
      <c r="O390" s="147"/>
      <c r="P390" s="139">
        <f t="shared" si="124"/>
        <v>0</v>
      </c>
      <c r="Q390" s="158">
        <f t="shared" si="125"/>
        <v>0</v>
      </c>
      <c r="R390" s="158">
        <f t="shared" si="126"/>
        <v>0</v>
      </c>
      <c r="S390" s="159" t="e">
        <f t="shared" si="127"/>
        <v>#DIV/0!</v>
      </c>
    </row>
    <row r="391" spans="3:19" s="46" customFormat="1" ht="38.25" customHeight="1" hidden="1">
      <c r="C391" s="28"/>
      <c r="D391" s="28"/>
      <c r="E391" s="28"/>
      <c r="F391" s="29" t="s">
        <v>379</v>
      </c>
      <c r="G391" s="139">
        <f>G392+G394</f>
        <v>0</v>
      </c>
      <c r="H391" s="139">
        <f aca="true" t="shared" si="130" ref="H391:N391">H392+H394</f>
        <v>0</v>
      </c>
      <c r="I391" s="138" t="e">
        <f t="shared" si="123"/>
        <v>#DIV/0!</v>
      </c>
      <c r="J391" s="139">
        <f t="shared" si="120"/>
        <v>0</v>
      </c>
      <c r="K391" s="139">
        <f t="shared" si="130"/>
        <v>0</v>
      </c>
      <c r="L391" s="139">
        <f t="shared" si="130"/>
        <v>0</v>
      </c>
      <c r="M391" s="139">
        <f t="shared" si="130"/>
        <v>0</v>
      </c>
      <c r="N391" s="60">
        <f t="shared" si="130"/>
        <v>0</v>
      </c>
      <c r="O391" s="147"/>
      <c r="P391" s="139">
        <f t="shared" si="124"/>
        <v>0</v>
      </c>
      <c r="Q391" s="158">
        <f t="shared" si="125"/>
        <v>0</v>
      </c>
      <c r="R391" s="158">
        <f t="shared" si="126"/>
        <v>0</v>
      </c>
      <c r="S391" s="159" t="e">
        <f t="shared" si="127"/>
        <v>#DIV/0!</v>
      </c>
    </row>
    <row r="392" spans="3:19" s="6" customFormat="1" ht="30" customHeight="1" hidden="1">
      <c r="C392" s="30" t="s">
        <v>386</v>
      </c>
      <c r="D392" s="30" t="s">
        <v>187</v>
      </c>
      <c r="E392" s="30"/>
      <c r="F392" s="31" t="s">
        <v>188</v>
      </c>
      <c r="G392" s="138">
        <f>G393</f>
        <v>0</v>
      </c>
      <c r="H392" s="138">
        <f aca="true" t="shared" si="131" ref="H392:N392">H393</f>
        <v>0</v>
      </c>
      <c r="I392" s="138" t="e">
        <f t="shared" si="123"/>
        <v>#DIV/0!</v>
      </c>
      <c r="J392" s="138">
        <f t="shared" si="120"/>
        <v>0</v>
      </c>
      <c r="K392" s="138">
        <f t="shared" si="131"/>
        <v>0</v>
      </c>
      <c r="L392" s="138">
        <f t="shared" si="131"/>
        <v>0</v>
      </c>
      <c r="M392" s="138">
        <f t="shared" si="131"/>
        <v>0</v>
      </c>
      <c r="N392" s="112">
        <f t="shared" si="131"/>
        <v>0</v>
      </c>
      <c r="O392" s="147"/>
      <c r="P392" s="139">
        <f t="shared" si="124"/>
        <v>0</v>
      </c>
      <c r="Q392" s="158">
        <f t="shared" si="125"/>
        <v>0</v>
      </c>
      <c r="R392" s="158">
        <f t="shared" si="126"/>
        <v>0</v>
      </c>
      <c r="S392" s="159" t="e">
        <f t="shared" si="127"/>
        <v>#DIV/0!</v>
      </c>
    </row>
    <row r="393" spans="3:19" s="37" customFormat="1" ht="108" customHeight="1" hidden="1">
      <c r="C393" s="33" t="s">
        <v>387</v>
      </c>
      <c r="D393" s="33" t="s">
        <v>116</v>
      </c>
      <c r="E393" s="33" t="s">
        <v>62</v>
      </c>
      <c r="F393" s="42" t="s">
        <v>388</v>
      </c>
      <c r="G393" s="142"/>
      <c r="H393" s="140"/>
      <c r="I393" s="138" t="e">
        <f t="shared" si="123"/>
        <v>#DIV/0!</v>
      </c>
      <c r="J393" s="142">
        <f>K393+N393</f>
        <v>0</v>
      </c>
      <c r="K393" s="140"/>
      <c r="L393" s="140"/>
      <c r="M393" s="140"/>
      <c r="N393" s="115"/>
      <c r="O393" s="147"/>
      <c r="P393" s="139">
        <f t="shared" si="124"/>
        <v>0</v>
      </c>
      <c r="Q393" s="158">
        <f t="shared" si="125"/>
        <v>0</v>
      </c>
      <c r="R393" s="158">
        <f t="shared" si="126"/>
        <v>0</v>
      </c>
      <c r="S393" s="159" t="e">
        <f t="shared" si="127"/>
        <v>#DIV/0!</v>
      </c>
    </row>
    <row r="394" spans="3:19" s="37" customFormat="1" ht="62.25" customHeight="1" hidden="1">
      <c r="C394" s="30" t="s">
        <v>527</v>
      </c>
      <c r="D394" s="30" t="s">
        <v>444</v>
      </c>
      <c r="E394" s="30" t="s">
        <v>62</v>
      </c>
      <c r="F394" s="41" t="s">
        <v>337</v>
      </c>
      <c r="G394" s="138">
        <f>G395</f>
        <v>0</v>
      </c>
      <c r="H394" s="138">
        <f aca="true" t="shared" si="132" ref="H394:N394">H395</f>
        <v>0</v>
      </c>
      <c r="I394" s="138" t="e">
        <f t="shared" si="123"/>
        <v>#DIV/0!</v>
      </c>
      <c r="J394" s="138">
        <f>K394+N394</f>
        <v>0</v>
      </c>
      <c r="K394" s="138">
        <f t="shared" si="132"/>
        <v>0</v>
      </c>
      <c r="L394" s="138">
        <f t="shared" si="132"/>
        <v>0</v>
      </c>
      <c r="M394" s="138">
        <f t="shared" si="132"/>
        <v>0</v>
      </c>
      <c r="N394" s="12">
        <f t="shared" si="132"/>
        <v>0</v>
      </c>
      <c r="O394" s="147"/>
      <c r="P394" s="139">
        <f t="shared" si="124"/>
        <v>0</v>
      </c>
      <c r="Q394" s="158">
        <f t="shared" si="125"/>
        <v>0</v>
      </c>
      <c r="R394" s="158">
        <f t="shared" si="126"/>
        <v>0</v>
      </c>
      <c r="S394" s="159" t="e">
        <f t="shared" si="127"/>
        <v>#DIV/0!</v>
      </c>
    </row>
    <row r="395" spans="3:19" s="37" customFormat="1" ht="54" customHeight="1" hidden="1">
      <c r="C395" s="33"/>
      <c r="D395" s="33"/>
      <c r="E395" s="33"/>
      <c r="F395" s="35" t="s">
        <v>528</v>
      </c>
      <c r="G395" s="142"/>
      <c r="H395" s="140"/>
      <c r="I395" s="138" t="e">
        <f t="shared" si="123"/>
        <v>#DIV/0!</v>
      </c>
      <c r="J395" s="142">
        <f>K395+N395</f>
        <v>0</v>
      </c>
      <c r="K395" s="140"/>
      <c r="L395" s="140"/>
      <c r="M395" s="140"/>
      <c r="N395" s="115"/>
      <c r="O395" s="147"/>
      <c r="P395" s="139">
        <f t="shared" si="124"/>
        <v>0</v>
      </c>
      <c r="Q395" s="158">
        <f t="shared" si="125"/>
        <v>0</v>
      </c>
      <c r="R395" s="158">
        <f t="shared" si="126"/>
        <v>0</v>
      </c>
      <c r="S395" s="159" t="e">
        <f t="shared" si="127"/>
        <v>#DIV/0!</v>
      </c>
    </row>
    <row r="396" spans="3:19" s="46" customFormat="1" ht="39.75" customHeight="1" hidden="1">
      <c r="C396" s="28"/>
      <c r="D396" s="28"/>
      <c r="E396" s="28"/>
      <c r="F396" s="29" t="s">
        <v>345</v>
      </c>
      <c r="G396" s="139">
        <f>G399+G397</f>
        <v>0</v>
      </c>
      <c r="H396" s="139">
        <f aca="true" t="shared" si="133" ref="H396:N396">H399+H397</f>
        <v>0</v>
      </c>
      <c r="I396" s="138" t="e">
        <f t="shared" si="123"/>
        <v>#DIV/0!</v>
      </c>
      <c r="J396" s="139">
        <f t="shared" si="120"/>
        <v>0</v>
      </c>
      <c r="K396" s="139">
        <f t="shared" si="133"/>
        <v>0</v>
      </c>
      <c r="L396" s="139">
        <f t="shared" si="133"/>
        <v>0</v>
      </c>
      <c r="M396" s="139">
        <f t="shared" si="133"/>
        <v>0</v>
      </c>
      <c r="N396" s="60">
        <f t="shared" si="133"/>
        <v>0</v>
      </c>
      <c r="O396" s="147"/>
      <c r="P396" s="139">
        <f t="shared" si="124"/>
        <v>0</v>
      </c>
      <c r="Q396" s="158">
        <f t="shared" si="125"/>
        <v>0</v>
      </c>
      <c r="R396" s="158">
        <f t="shared" si="126"/>
        <v>0</v>
      </c>
      <c r="S396" s="159" t="e">
        <f t="shared" si="127"/>
        <v>#DIV/0!</v>
      </c>
    </row>
    <row r="397" spans="3:19" s="46" customFormat="1" ht="43.5" customHeight="1" hidden="1">
      <c r="C397" s="28" t="s">
        <v>487</v>
      </c>
      <c r="D397" s="28" t="s">
        <v>488</v>
      </c>
      <c r="E397" s="28" t="s">
        <v>72</v>
      </c>
      <c r="F397" s="29" t="s">
        <v>489</v>
      </c>
      <c r="G397" s="139">
        <f>G398</f>
        <v>0</v>
      </c>
      <c r="H397" s="139">
        <f aca="true" t="shared" si="134" ref="H397:N397">H398</f>
        <v>0</v>
      </c>
      <c r="I397" s="138" t="e">
        <f t="shared" si="123"/>
        <v>#DIV/0!</v>
      </c>
      <c r="J397" s="139">
        <f t="shared" si="120"/>
        <v>0</v>
      </c>
      <c r="K397" s="139">
        <f t="shared" si="134"/>
        <v>0</v>
      </c>
      <c r="L397" s="139">
        <f t="shared" si="134"/>
        <v>0</v>
      </c>
      <c r="M397" s="139">
        <f t="shared" si="134"/>
        <v>0</v>
      </c>
      <c r="N397" s="60">
        <f t="shared" si="134"/>
        <v>0</v>
      </c>
      <c r="O397" s="147"/>
      <c r="P397" s="139">
        <f t="shared" si="124"/>
        <v>0</v>
      </c>
      <c r="Q397" s="158">
        <f t="shared" si="125"/>
        <v>0</v>
      </c>
      <c r="R397" s="158">
        <f t="shared" si="126"/>
        <v>0</v>
      </c>
      <c r="S397" s="159" t="e">
        <f t="shared" si="127"/>
        <v>#DIV/0!</v>
      </c>
    </row>
    <row r="398" spans="3:19" s="46" customFormat="1" ht="96.75" customHeight="1" hidden="1">
      <c r="C398" s="28"/>
      <c r="D398" s="28"/>
      <c r="E398" s="28"/>
      <c r="F398" s="42" t="s">
        <v>490</v>
      </c>
      <c r="G398" s="138">
        <v>0</v>
      </c>
      <c r="H398" s="138"/>
      <c r="I398" s="138" t="e">
        <f t="shared" si="123"/>
        <v>#DIV/0!</v>
      </c>
      <c r="J398" s="138">
        <f t="shared" si="120"/>
        <v>0</v>
      </c>
      <c r="K398" s="139"/>
      <c r="L398" s="139"/>
      <c r="M398" s="139"/>
      <c r="N398" s="114"/>
      <c r="O398" s="147"/>
      <c r="P398" s="139">
        <f t="shared" si="124"/>
        <v>0</v>
      </c>
      <c r="Q398" s="158">
        <f t="shared" si="125"/>
        <v>0</v>
      </c>
      <c r="R398" s="158">
        <f t="shared" si="126"/>
        <v>0</v>
      </c>
      <c r="S398" s="159" t="e">
        <f t="shared" si="127"/>
        <v>#DIV/0!</v>
      </c>
    </row>
    <row r="399" spans="1:19" s="15" customFormat="1" ht="33" customHeight="1" hidden="1">
      <c r="A399" s="15">
        <v>2</v>
      </c>
      <c r="B399" s="6">
        <v>46</v>
      </c>
      <c r="C399" s="30" t="s">
        <v>389</v>
      </c>
      <c r="D399" s="30" t="s">
        <v>571</v>
      </c>
      <c r="E399" s="30" t="s">
        <v>72</v>
      </c>
      <c r="F399" s="31" t="s">
        <v>0</v>
      </c>
      <c r="G399" s="138"/>
      <c r="H399" s="141"/>
      <c r="I399" s="138"/>
      <c r="J399" s="138">
        <f t="shared" si="120"/>
        <v>0</v>
      </c>
      <c r="K399" s="141"/>
      <c r="L399" s="141"/>
      <c r="M399" s="141"/>
      <c r="N399" s="119"/>
      <c r="O399" s="147"/>
      <c r="P399" s="139">
        <f t="shared" si="124"/>
        <v>0</v>
      </c>
      <c r="Q399" s="158">
        <f t="shared" si="125"/>
        <v>0</v>
      </c>
      <c r="R399" s="158">
        <f t="shared" si="126"/>
        <v>0</v>
      </c>
      <c r="S399" s="159" t="e">
        <f t="shared" si="127"/>
        <v>#DIV/0!</v>
      </c>
    </row>
    <row r="400" spans="2:19" s="65" customFormat="1" ht="39.75" customHeight="1">
      <c r="B400" s="46"/>
      <c r="C400" s="28"/>
      <c r="D400" s="28"/>
      <c r="E400" s="28"/>
      <c r="F400" s="29" t="s">
        <v>347</v>
      </c>
      <c r="G400" s="139">
        <f>G401</f>
        <v>43894.3</v>
      </c>
      <c r="H400" s="139">
        <f>H401</f>
        <v>43894.3</v>
      </c>
      <c r="I400" s="138">
        <f t="shared" si="123"/>
        <v>100</v>
      </c>
      <c r="J400" s="139">
        <f>J401</f>
        <v>0</v>
      </c>
      <c r="K400" s="139">
        <f>K401</f>
        <v>0</v>
      </c>
      <c r="L400" s="139">
        <f>L401</f>
        <v>0</v>
      </c>
      <c r="M400" s="139">
        <f>M401</f>
        <v>0</v>
      </c>
      <c r="N400" s="60" t="e">
        <f>#REF!</f>
        <v>#REF!</v>
      </c>
      <c r="O400" s="147"/>
      <c r="P400" s="139">
        <f t="shared" si="124"/>
        <v>43894.3</v>
      </c>
      <c r="Q400" s="158">
        <f t="shared" si="125"/>
        <v>43894.3</v>
      </c>
      <c r="R400" s="158">
        <f t="shared" si="126"/>
        <v>0</v>
      </c>
      <c r="S400" s="159">
        <f t="shared" si="127"/>
        <v>100</v>
      </c>
    </row>
    <row r="401" spans="1:19" s="6" customFormat="1" ht="34.5" customHeight="1">
      <c r="A401" s="46">
        <v>4</v>
      </c>
      <c r="B401" s="6">
        <v>46</v>
      </c>
      <c r="C401" s="4" t="s">
        <v>390</v>
      </c>
      <c r="D401" s="4" t="s">
        <v>391</v>
      </c>
      <c r="E401" s="4" t="s">
        <v>59</v>
      </c>
      <c r="F401" s="31" t="s">
        <v>23</v>
      </c>
      <c r="G401" s="138">
        <v>43894.3</v>
      </c>
      <c r="H401" s="138">
        <v>43894.3</v>
      </c>
      <c r="I401" s="138">
        <f t="shared" si="123"/>
        <v>100</v>
      </c>
      <c r="J401" s="138">
        <f t="shared" si="120"/>
        <v>0</v>
      </c>
      <c r="K401" s="151"/>
      <c r="L401" s="138"/>
      <c r="M401" s="138"/>
      <c r="N401" s="112"/>
      <c r="O401" s="147"/>
      <c r="P401" s="139">
        <f t="shared" si="124"/>
        <v>43894.3</v>
      </c>
      <c r="Q401" s="158">
        <f t="shared" si="125"/>
        <v>43894.3</v>
      </c>
      <c r="R401" s="158">
        <f t="shared" si="126"/>
        <v>0</v>
      </c>
      <c r="S401" s="159">
        <f t="shared" si="127"/>
        <v>100</v>
      </c>
    </row>
    <row r="402" spans="3:19" s="95" customFormat="1" ht="42" customHeight="1">
      <c r="C402" s="96"/>
      <c r="D402" s="96"/>
      <c r="E402" s="96"/>
      <c r="F402" s="99" t="s">
        <v>10</v>
      </c>
      <c r="G402" s="149">
        <f aca="true" t="shared" si="135" ref="G402:N402">G380+G386+G391+G396+G400+G383</f>
        <v>48091.8</v>
      </c>
      <c r="H402" s="149">
        <f t="shared" si="135"/>
        <v>48088.4</v>
      </c>
      <c r="I402" s="138">
        <f t="shared" si="123"/>
        <v>99.99293018768272</v>
      </c>
      <c r="J402" s="149">
        <f t="shared" si="135"/>
        <v>0</v>
      </c>
      <c r="K402" s="149">
        <f t="shared" si="135"/>
        <v>0</v>
      </c>
      <c r="L402" s="149">
        <f t="shared" si="135"/>
        <v>0</v>
      </c>
      <c r="M402" s="149">
        <f t="shared" si="135"/>
        <v>0</v>
      </c>
      <c r="N402" s="104" t="e">
        <f t="shared" si="135"/>
        <v>#REF!</v>
      </c>
      <c r="O402" s="147"/>
      <c r="P402" s="139">
        <f t="shared" si="124"/>
        <v>48091.8</v>
      </c>
      <c r="Q402" s="158">
        <f t="shared" si="125"/>
        <v>48088.4</v>
      </c>
      <c r="R402" s="158">
        <f t="shared" si="126"/>
        <v>-3.400000000001455</v>
      </c>
      <c r="S402" s="159">
        <f t="shared" si="127"/>
        <v>99.99293018768272</v>
      </c>
    </row>
    <row r="403" spans="3:19" s="95" customFormat="1" ht="34.5" customHeight="1">
      <c r="C403" s="96"/>
      <c r="D403" s="96"/>
      <c r="E403" s="96"/>
      <c r="F403" s="75" t="s">
        <v>19</v>
      </c>
      <c r="G403" s="149">
        <f>G377+G246+G402+G337+G208+G196+G83+G37+G356</f>
        <v>411996.4</v>
      </c>
      <c r="H403" s="149">
        <f>H377+H246+H402+H337+H208+H196+H83+H37+H356</f>
        <v>407676.0999999999</v>
      </c>
      <c r="I403" s="138">
        <f t="shared" si="123"/>
        <v>98.95137433239705</v>
      </c>
      <c r="J403" s="149">
        <f>J377+J246+J402+J337+J208+J196+J83+J37+J356</f>
        <v>94434.5</v>
      </c>
      <c r="K403" s="149" t="e">
        <f>K377+K246+K402+K337+K208+K196+K83+K37+K356</f>
        <v>#REF!</v>
      </c>
      <c r="L403" s="149">
        <f>L377+L246+L402+L337+L208+L196+L83+L37+L356</f>
        <v>77622.4</v>
      </c>
      <c r="M403" s="149">
        <f>M377+M246+M402+M337+M208+M196+M83+M37+M356</f>
        <v>60995</v>
      </c>
      <c r="N403" s="104" t="e">
        <f>N377+N246+N402+N337+N208+N196+N83+N37+N356</f>
        <v>#REF!</v>
      </c>
      <c r="O403" s="147">
        <f>L403/J403*100</f>
        <v>82.19707839825486</v>
      </c>
      <c r="P403" s="139">
        <f t="shared" si="124"/>
        <v>506430.9</v>
      </c>
      <c r="Q403" s="158">
        <f t="shared" si="125"/>
        <v>485298.4999999999</v>
      </c>
      <c r="R403" s="158">
        <f t="shared" si="126"/>
        <v>-21132.40000000014</v>
      </c>
      <c r="S403" s="159">
        <f t="shared" si="127"/>
        <v>95.82718984959249</v>
      </c>
    </row>
    <row r="404" spans="3:19" ht="57" customHeight="1" hidden="1">
      <c r="C404" s="30"/>
      <c r="D404" s="30"/>
      <c r="E404" s="30"/>
      <c r="F404" s="31" t="s">
        <v>599</v>
      </c>
      <c r="G404" s="138">
        <v>137783.2</v>
      </c>
      <c r="H404" s="138">
        <v>93681.9</v>
      </c>
      <c r="I404" s="174">
        <f>H404/G404*100</f>
        <v>67.99225159525979</v>
      </c>
      <c r="J404" s="174">
        <f>J314+J62+J52+J100+J95+J183</f>
        <v>40480</v>
      </c>
      <c r="K404" s="174">
        <f>K314+K62+K52+K100+K95+K183</f>
        <v>0</v>
      </c>
      <c r="L404" s="174">
        <f>L314+L62+L52+L100+L95+L183</f>
        <v>25755.2</v>
      </c>
      <c r="M404" s="174">
        <f>M314+M62+M52+M100+M95+M183</f>
        <v>25755.2</v>
      </c>
      <c r="N404" s="174" t="e">
        <f>N86+N49+N51+N52+N275+N54+N388+N289+N398</f>
        <v>#REF!</v>
      </c>
      <c r="O404" s="175">
        <f>L404/J404*100</f>
        <v>63.62450592885376</v>
      </c>
      <c r="P404" s="174">
        <f>G404+J404</f>
        <v>178263.2</v>
      </c>
      <c r="Q404" s="174">
        <f>H404+L404</f>
        <v>119437.09999999999</v>
      </c>
      <c r="R404" s="174">
        <f>Q404-P404</f>
        <v>-58826.10000000002</v>
      </c>
      <c r="S404" s="176">
        <f>Q404/P404*100</f>
        <v>67.00042409201674</v>
      </c>
    </row>
    <row r="405" spans="6:16" ht="24.75" customHeight="1" hidden="1">
      <c r="F405" s="1" t="s">
        <v>31</v>
      </c>
      <c r="G405" s="10">
        <f>G51</f>
        <v>1.9</v>
      </c>
      <c r="H405" s="10">
        <f>H51</f>
        <v>1.9</v>
      </c>
      <c r="I405" s="10"/>
      <c r="J405" s="10">
        <f aca="true" t="shared" si="136" ref="J405:O405">J51</f>
        <v>0</v>
      </c>
      <c r="K405" s="10">
        <f t="shared" si="136"/>
        <v>0</v>
      </c>
      <c r="L405" s="10">
        <f t="shared" si="136"/>
        <v>0</v>
      </c>
      <c r="M405" s="10">
        <f t="shared" si="136"/>
        <v>0</v>
      </c>
      <c r="N405" s="10">
        <f t="shared" si="136"/>
        <v>0</v>
      </c>
      <c r="O405" s="10">
        <f t="shared" si="136"/>
        <v>0</v>
      </c>
      <c r="P405" s="12" t="e">
        <f>#REF!+J405</f>
        <v>#REF!</v>
      </c>
    </row>
    <row r="406" spans="3:18" s="9" customFormat="1" ht="21" customHeight="1" hidden="1">
      <c r="C406" s="26"/>
      <c r="D406" s="26"/>
      <c r="E406" s="26"/>
      <c r="F406" s="27" t="s">
        <v>32</v>
      </c>
      <c r="G406" s="71" t="e">
        <f>#REF!+#REF!</f>
        <v>#REF!</v>
      </c>
      <c r="H406" s="71" t="e">
        <f>#REF!+#REF!</f>
        <v>#REF!</v>
      </c>
      <c r="I406" s="71"/>
      <c r="J406" s="71" t="e">
        <f>#REF!+#REF!</f>
        <v>#REF!</v>
      </c>
      <c r="K406" s="71" t="e">
        <f>#REF!+#REF!</f>
        <v>#REF!</v>
      </c>
      <c r="L406" s="71" t="e">
        <f>#REF!+#REF!</f>
        <v>#REF!</v>
      </c>
      <c r="M406" s="71" t="e">
        <f>#REF!+#REF!</f>
        <v>#REF!</v>
      </c>
      <c r="N406" s="71" t="e">
        <f>#REF!+#REF!</f>
        <v>#REF!</v>
      </c>
      <c r="O406" s="71" t="e">
        <f>#REF!+#REF!</f>
        <v>#REF!</v>
      </c>
      <c r="P406" s="12" t="e">
        <f>#REF!+J406</f>
        <v>#REF!</v>
      </c>
      <c r="Q406" s="84"/>
      <c r="R406" s="83"/>
    </row>
    <row r="407" spans="3:16" s="133" customFormat="1" ht="81" customHeight="1">
      <c r="C407" s="218" t="s">
        <v>468</v>
      </c>
      <c r="D407" s="218"/>
      <c r="E407" s="218"/>
      <c r="F407" s="218"/>
      <c r="G407" s="218"/>
      <c r="H407" s="134"/>
      <c r="I407" s="134"/>
      <c r="J407" s="135"/>
      <c r="K407" s="136"/>
      <c r="L407" s="135"/>
      <c r="M407" s="135"/>
      <c r="N407" s="197" t="s">
        <v>37</v>
      </c>
      <c r="O407" s="197"/>
      <c r="P407" s="197"/>
    </row>
    <row r="408" spans="3:16" s="78" customFormat="1" ht="24.75" customHeight="1">
      <c r="C408" s="77"/>
      <c r="D408" s="77"/>
      <c r="E408" s="77"/>
      <c r="F408" s="103"/>
      <c r="G408" s="71"/>
      <c r="H408" s="71"/>
      <c r="I408" s="71"/>
      <c r="J408" s="71"/>
      <c r="K408" s="71"/>
      <c r="L408" s="71"/>
      <c r="M408" s="71"/>
      <c r="N408" s="71"/>
      <c r="O408" s="71"/>
      <c r="P408" s="71"/>
    </row>
    <row r="409" spans="3:16" s="78" customFormat="1" ht="25.5" customHeight="1">
      <c r="C409" s="77"/>
      <c r="D409" s="77"/>
      <c r="E409" s="77"/>
      <c r="F409" s="103"/>
      <c r="G409" s="122"/>
      <c r="H409" s="122"/>
      <c r="I409" s="122"/>
      <c r="J409" s="122"/>
      <c r="K409" s="122"/>
      <c r="L409" s="122"/>
      <c r="M409" s="122"/>
      <c r="N409" s="122"/>
      <c r="O409" s="122"/>
      <c r="P409" s="125"/>
    </row>
    <row r="410" spans="3:16" s="78" customFormat="1" ht="51.75" customHeight="1">
      <c r="C410" s="77"/>
      <c r="D410" s="77"/>
      <c r="E410" s="77"/>
      <c r="F410" s="103"/>
      <c r="G410" s="103"/>
      <c r="H410" s="79"/>
      <c r="I410" s="79"/>
      <c r="J410" s="80"/>
      <c r="K410" s="81"/>
      <c r="L410" s="80"/>
      <c r="M410" s="80"/>
      <c r="N410" s="82"/>
      <c r="O410" s="82"/>
      <c r="P410" s="82"/>
    </row>
    <row r="411" spans="3:16" s="78" customFormat="1" ht="51.75" customHeight="1">
      <c r="C411" s="77"/>
      <c r="D411" s="77"/>
      <c r="E411" s="77"/>
      <c r="F411" s="103"/>
      <c r="G411" s="184"/>
      <c r="H411" s="79"/>
      <c r="I411" s="79"/>
      <c r="J411" s="80"/>
      <c r="K411" s="81"/>
      <c r="L411" s="80"/>
      <c r="M411" s="80"/>
      <c r="N411" s="82"/>
      <c r="O411" s="82"/>
      <c r="P411" s="82"/>
    </row>
    <row r="412" spans="3:16" s="18" customFormat="1" ht="20.25">
      <c r="C412" s="25"/>
      <c r="D412" s="25"/>
      <c r="E412" s="25"/>
      <c r="F412" s="104"/>
      <c r="G412" s="12"/>
      <c r="H412" s="12"/>
      <c r="I412" s="12"/>
      <c r="J412" s="11"/>
      <c r="K412" s="12"/>
      <c r="L412" s="13"/>
      <c r="M412" s="13"/>
      <c r="O412" s="72"/>
      <c r="P412" s="12"/>
    </row>
    <row r="413" spans="3:16" s="18" customFormat="1" ht="20.25">
      <c r="C413" s="25"/>
      <c r="D413" s="25"/>
      <c r="E413" s="25"/>
      <c r="F413" s="108"/>
      <c r="G413" s="12"/>
      <c r="H413" s="12"/>
      <c r="I413" s="12"/>
      <c r="J413" s="11"/>
      <c r="K413" s="12"/>
      <c r="L413" s="13"/>
      <c r="M413" s="13"/>
      <c r="O413" s="72"/>
      <c r="P413" s="12"/>
    </row>
    <row r="414" spans="3:16" s="18" customFormat="1" ht="20.25">
      <c r="C414" s="25"/>
      <c r="D414" s="25"/>
      <c r="E414" s="25"/>
      <c r="F414" s="109"/>
      <c r="G414" s="11"/>
      <c r="H414" s="11"/>
      <c r="I414" s="11"/>
      <c r="J414" s="11"/>
      <c r="K414" s="12"/>
      <c r="L414" s="13"/>
      <c r="M414" s="13"/>
      <c r="O414" s="72"/>
      <c r="P414" s="12"/>
    </row>
    <row r="415" spans="6:16" ht="20.25">
      <c r="F415" s="105"/>
      <c r="G415" s="10"/>
      <c r="H415" s="10"/>
      <c r="I415" s="10"/>
      <c r="J415" s="50"/>
      <c r="K415" s="51"/>
      <c r="L415" s="51"/>
      <c r="M415" s="51"/>
      <c r="N415" s="50"/>
      <c r="O415" s="50"/>
      <c r="P415" s="50"/>
    </row>
    <row r="416" spans="3:16" s="6" customFormat="1" ht="18.75">
      <c r="C416" s="25"/>
      <c r="D416" s="25"/>
      <c r="E416" s="25"/>
      <c r="F416" s="106"/>
      <c r="G416" s="185"/>
      <c r="H416" s="10"/>
      <c r="I416" s="10"/>
      <c r="J416" s="10"/>
      <c r="K416" s="10"/>
      <c r="L416" s="10"/>
      <c r="M416" s="10"/>
      <c r="N416" s="10"/>
      <c r="O416" s="10"/>
      <c r="P416" s="10"/>
    </row>
    <row r="417" spans="3:16" s="6" customFormat="1" ht="18.75">
      <c r="C417" s="25"/>
      <c r="D417" s="25"/>
      <c r="E417" s="25"/>
      <c r="F417" s="107"/>
      <c r="G417" s="185"/>
      <c r="H417" s="10"/>
      <c r="I417" s="10"/>
      <c r="J417" s="10"/>
      <c r="K417" s="10"/>
      <c r="L417" s="10"/>
      <c r="M417" s="10"/>
      <c r="N417" s="10"/>
      <c r="O417" s="10"/>
      <c r="P417" s="12"/>
    </row>
    <row r="418" spans="3:16" s="6" customFormat="1" ht="18.75">
      <c r="C418" s="25"/>
      <c r="D418" s="25"/>
      <c r="E418" s="25"/>
      <c r="F418" s="111"/>
      <c r="G418" s="185"/>
      <c r="H418" s="10"/>
      <c r="I418" s="10"/>
      <c r="J418" s="10"/>
      <c r="K418" s="10"/>
      <c r="L418" s="10"/>
      <c r="M418" s="10"/>
      <c r="N418" s="10"/>
      <c r="O418" s="10"/>
      <c r="P418" s="12"/>
    </row>
    <row r="419" spans="3:16" s="6" customFormat="1" ht="18.75">
      <c r="C419" s="25"/>
      <c r="D419" s="25"/>
      <c r="E419" s="25"/>
      <c r="F419" s="110"/>
      <c r="G419" s="12"/>
      <c r="H419" s="12"/>
      <c r="I419" s="12"/>
      <c r="J419" s="10"/>
      <c r="K419" s="17"/>
      <c r="L419" s="10"/>
      <c r="M419" s="10"/>
      <c r="N419" s="10"/>
      <c r="O419" s="10"/>
      <c r="P419" s="19"/>
    </row>
    <row r="420" spans="6:15" ht="18.75">
      <c r="F420" s="110"/>
      <c r="G420" s="5"/>
      <c r="H420" s="5"/>
      <c r="I420" s="5"/>
      <c r="J420" s="5"/>
      <c r="K420" s="20"/>
      <c r="L420" s="5"/>
      <c r="M420" s="5"/>
      <c r="N420" s="5"/>
      <c r="O420" s="5"/>
    </row>
    <row r="421" spans="6:15" ht="18.75">
      <c r="F421" s="110"/>
      <c r="G421" s="5"/>
      <c r="H421" s="5"/>
      <c r="I421" s="5"/>
      <c r="J421" s="5"/>
      <c r="K421" s="20"/>
      <c r="L421" s="5"/>
      <c r="M421" s="5"/>
      <c r="N421" s="5"/>
      <c r="O421" s="5"/>
    </row>
    <row r="422" spans="6:9" ht="18.75">
      <c r="F422" s="71"/>
      <c r="G422" s="10"/>
      <c r="H422" s="10"/>
      <c r="I422" s="10"/>
    </row>
    <row r="423" spans="6:15" ht="18.75">
      <c r="F423" s="110"/>
      <c r="G423" s="5"/>
      <c r="J423" s="5"/>
      <c r="K423" s="22"/>
      <c r="L423" s="5"/>
      <c r="M423" s="5"/>
      <c r="N423" s="5"/>
      <c r="O423" s="5"/>
    </row>
    <row r="424" ht="18.75">
      <c r="F424" s="69"/>
    </row>
    <row r="425" spans="6:15" ht="18.75">
      <c r="F425" s="69"/>
      <c r="G425" s="186"/>
      <c r="J425" s="5"/>
      <c r="K425" s="23"/>
      <c r="L425" s="5"/>
      <c r="M425" s="5"/>
      <c r="N425" s="5"/>
      <c r="O425" s="5"/>
    </row>
    <row r="426" spans="6:7" ht="18.75">
      <c r="F426" s="69"/>
      <c r="G426" s="187"/>
    </row>
    <row r="427" spans="6:7" ht="18.75">
      <c r="F427" s="69"/>
      <c r="G427" s="187"/>
    </row>
    <row r="428" ht="18.75">
      <c r="F428" s="69"/>
    </row>
    <row r="429" ht="18.75">
      <c r="F429" s="10"/>
    </row>
    <row r="430" spans="3:16" ht="18.75">
      <c r="C430" s="2"/>
      <c r="D430" s="2"/>
      <c r="E430" s="2"/>
      <c r="F430" s="2"/>
      <c r="G430" s="2"/>
      <c r="H430" s="2"/>
      <c r="I430" s="2"/>
      <c r="J430" s="2"/>
      <c r="K430" s="2"/>
      <c r="L430" s="2"/>
      <c r="M430" s="2"/>
      <c r="N430" s="2"/>
      <c r="O430" s="2"/>
      <c r="P430" s="2"/>
    </row>
    <row r="431" spans="3:16" ht="18.75">
      <c r="C431" s="2"/>
      <c r="D431" s="2"/>
      <c r="E431" s="2"/>
      <c r="F431" s="2"/>
      <c r="G431" s="2"/>
      <c r="H431" s="2"/>
      <c r="I431" s="2"/>
      <c r="J431" s="2"/>
      <c r="K431" s="2"/>
      <c r="L431" s="2"/>
      <c r="M431" s="2"/>
      <c r="N431" s="2"/>
      <c r="O431" s="2"/>
      <c r="P431" s="2"/>
    </row>
    <row r="437" spans="3:16" ht="18.75">
      <c r="C437" s="2"/>
      <c r="D437" s="2"/>
      <c r="E437" s="2"/>
      <c r="F437" s="2"/>
      <c r="G437" s="2"/>
      <c r="H437" s="2"/>
      <c r="I437" s="2"/>
      <c r="J437" s="2"/>
      <c r="K437" s="2"/>
      <c r="L437" s="2"/>
      <c r="M437" s="2"/>
      <c r="N437" s="2"/>
      <c r="O437" s="2"/>
      <c r="P437" s="2"/>
    </row>
    <row r="438" spans="3:16" ht="18.75">
      <c r="C438" s="2"/>
      <c r="D438" s="2"/>
      <c r="E438" s="2"/>
      <c r="F438" s="2"/>
      <c r="G438" s="2"/>
      <c r="H438" s="2"/>
      <c r="I438" s="2"/>
      <c r="J438" s="2"/>
      <c r="K438" s="2"/>
      <c r="L438" s="2"/>
      <c r="M438" s="2"/>
      <c r="N438" s="2"/>
      <c r="O438" s="2"/>
      <c r="P438" s="2"/>
    </row>
    <row r="439" spans="3:16" ht="18.75">
      <c r="C439" s="2"/>
      <c r="D439" s="2"/>
      <c r="E439" s="2"/>
      <c r="F439" s="2"/>
      <c r="G439" s="2"/>
      <c r="H439" s="2"/>
      <c r="I439" s="2"/>
      <c r="J439" s="2"/>
      <c r="K439" s="2"/>
      <c r="L439" s="2"/>
      <c r="M439" s="2"/>
      <c r="N439" s="2"/>
      <c r="O439" s="2"/>
      <c r="P439" s="2"/>
    </row>
    <row r="440" spans="3:16" ht="18.75">
      <c r="C440" s="2"/>
      <c r="D440" s="2"/>
      <c r="E440" s="2"/>
      <c r="F440" s="2"/>
      <c r="G440" s="2"/>
      <c r="H440" s="2"/>
      <c r="I440" s="2"/>
      <c r="J440" s="2"/>
      <c r="K440" s="2"/>
      <c r="L440" s="2"/>
      <c r="M440" s="2"/>
      <c r="N440" s="2"/>
      <c r="O440" s="2"/>
      <c r="P440" s="2"/>
    </row>
    <row r="441" spans="3:16" ht="18.75">
      <c r="C441" s="2"/>
      <c r="D441" s="2"/>
      <c r="E441" s="2"/>
      <c r="F441" s="2"/>
      <c r="G441" s="2"/>
      <c r="H441" s="2"/>
      <c r="I441" s="2"/>
      <c r="J441" s="2"/>
      <c r="K441" s="2"/>
      <c r="L441" s="2"/>
      <c r="M441" s="2"/>
      <c r="N441" s="2"/>
      <c r="O441" s="2"/>
      <c r="P441" s="2"/>
    </row>
    <row r="442" spans="3:16" ht="18.75">
      <c r="C442" s="2"/>
      <c r="D442" s="2"/>
      <c r="E442" s="2"/>
      <c r="F442" s="2"/>
      <c r="G442" s="2"/>
      <c r="H442" s="2"/>
      <c r="I442" s="2"/>
      <c r="J442" s="2"/>
      <c r="K442" s="2"/>
      <c r="L442" s="2"/>
      <c r="M442" s="2"/>
      <c r="N442" s="2"/>
      <c r="O442" s="2"/>
      <c r="P442" s="2"/>
    </row>
    <row r="443" spans="3:16" ht="18.75">
      <c r="C443" s="2"/>
      <c r="D443" s="2"/>
      <c r="E443" s="2"/>
      <c r="F443" s="2"/>
      <c r="G443" s="2"/>
      <c r="H443" s="2"/>
      <c r="I443" s="2"/>
      <c r="J443" s="2"/>
      <c r="K443" s="2"/>
      <c r="L443" s="2"/>
      <c r="M443" s="2"/>
      <c r="N443" s="2"/>
      <c r="O443" s="2"/>
      <c r="P443" s="2"/>
    </row>
    <row r="444" spans="3:16" ht="18.75">
      <c r="C444" s="2"/>
      <c r="D444" s="2"/>
      <c r="E444" s="2"/>
      <c r="F444" s="2"/>
      <c r="G444" s="2"/>
      <c r="H444" s="2"/>
      <c r="I444" s="2"/>
      <c r="J444" s="2"/>
      <c r="K444" s="2"/>
      <c r="L444" s="2"/>
      <c r="M444" s="2"/>
      <c r="N444" s="2"/>
      <c r="O444" s="2"/>
      <c r="P444" s="2"/>
    </row>
    <row r="445" spans="3:16" ht="18.75">
      <c r="C445" s="2"/>
      <c r="D445" s="2"/>
      <c r="E445" s="2"/>
      <c r="F445" s="2"/>
      <c r="G445" s="2"/>
      <c r="H445" s="2"/>
      <c r="I445" s="2"/>
      <c r="J445" s="2"/>
      <c r="K445" s="2"/>
      <c r="L445" s="2"/>
      <c r="M445" s="2"/>
      <c r="N445" s="2"/>
      <c r="O445" s="2"/>
      <c r="P445" s="2"/>
    </row>
    <row r="446" spans="3:16" ht="18.75">
      <c r="C446" s="2"/>
      <c r="D446" s="2"/>
      <c r="E446" s="2"/>
      <c r="F446" s="2"/>
      <c r="G446" s="2"/>
      <c r="H446" s="2"/>
      <c r="I446" s="2"/>
      <c r="J446" s="2"/>
      <c r="K446" s="2"/>
      <c r="L446" s="2"/>
      <c r="M446" s="2"/>
      <c r="N446" s="2"/>
      <c r="O446" s="2"/>
      <c r="P446" s="2"/>
    </row>
    <row r="447" spans="3:16" ht="18.75">
      <c r="C447" s="2"/>
      <c r="D447" s="2"/>
      <c r="E447" s="2"/>
      <c r="F447" s="2"/>
      <c r="G447" s="2"/>
      <c r="H447" s="2"/>
      <c r="I447" s="2"/>
      <c r="J447" s="2"/>
      <c r="K447" s="2"/>
      <c r="L447" s="2"/>
      <c r="M447" s="2"/>
      <c r="N447" s="2"/>
      <c r="O447" s="2"/>
      <c r="P447" s="2"/>
    </row>
    <row r="449" spans="3:16" ht="18.75">
      <c r="C449" s="2"/>
      <c r="D449" s="2"/>
      <c r="E449" s="2"/>
      <c r="F449" s="2"/>
      <c r="G449" s="2"/>
      <c r="H449" s="2"/>
      <c r="I449" s="2"/>
      <c r="J449" s="2"/>
      <c r="K449" s="2"/>
      <c r="L449" s="2"/>
      <c r="M449" s="2"/>
      <c r="N449" s="2"/>
      <c r="O449" s="2"/>
      <c r="P449" s="2"/>
    </row>
  </sheetData>
  <sheetProtection/>
  <mergeCells count="27">
    <mergeCell ref="N1:P1"/>
    <mergeCell ref="C407:G407"/>
    <mergeCell ref="L1:M1"/>
    <mergeCell ref="F7:F8"/>
    <mergeCell ref="J8:J10"/>
    <mergeCell ref="K8:K10"/>
    <mergeCell ref="G8:G10"/>
    <mergeCell ref="M9:M10"/>
    <mergeCell ref="N8:N10"/>
    <mergeCell ref="G7:I7"/>
    <mergeCell ref="I8:I10"/>
    <mergeCell ref="C7:C10"/>
    <mergeCell ref="J7:O7"/>
    <mergeCell ref="L9:L10"/>
    <mergeCell ref="D7:D10"/>
    <mergeCell ref="E7:E10"/>
    <mergeCell ref="H8:H10"/>
    <mergeCell ref="Q7:Q10"/>
    <mergeCell ref="R7:R10"/>
    <mergeCell ref="S7:S10"/>
    <mergeCell ref="O8:O10"/>
    <mergeCell ref="N407:P407"/>
    <mergeCell ref="F4:P4"/>
    <mergeCell ref="F5:P5"/>
    <mergeCell ref="O6:P6"/>
    <mergeCell ref="P7:P10"/>
    <mergeCell ref="L8:M8"/>
  </mergeCells>
  <conditionalFormatting sqref="K289 K45:K47 H382 K49:N49 K65:M66 K213:N213 K251:N251 K382:N382 K42:N42 H44 K52:N59 K64:N64 K388:N388 H388 H393 K393:N393 K399:N399 H399 H390 K390:N390 K51 K395:N395 H395 K361:N364 K254:N256 K16:N17 N45:N47 G42:H42 H213 G251:H251 G16:H17 G254:H256 G361:H364 H342 H345 H348 H350 H352 K61:N62 N60">
    <cfRule type="cellIs" priority="39" dxfId="8" operator="equal" stopIfTrue="1">
      <formula>0</formula>
    </cfRule>
  </conditionalFormatting>
  <conditionalFormatting sqref="N65:N66">
    <cfRule type="cellIs" priority="25" dxfId="8" operator="equal" stopIfTrue="1">
      <formula>0</formula>
    </cfRule>
  </conditionalFormatting>
  <conditionalFormatting sqref="K342:N342 K345:N345 K348:N348">
    <cfRule type="cellIs" priority="23" dxfId="8" operator="equal" stopIfTrue="1">
      <formula>0</formula>
    </cfRule>
  </conditionalFormatting>
  <conditionalFormatting sqref="J147:J148">
    <cfRule type="cellIs" priority="10" dxfId="8" operator="equal" stopIfTrue="1">
      <formula>0</formula>
    </cfRule>
  </conditionalFormatting>
  <conditionalFormatting sqref="K352:N352 K350:N350">
    <cfRule type="cellIs" priority="8" dxfId="8" operator="equal" stopIfTrue="1">
      <formula>0</formula>
    </cfRule>
  </conditionalFormatting>
  <conditionalFormatting sqref="K50:N50">
    <cfRule type="cellIs" priority="5" dxfId="8" operator="equal" stopIfTrue="1">
      <formula>0</formula>
    </cfRule>
  </conditionalFormatting>
  <conditionalFormatting sqref="L51:N51">
    <cfRule type="cellIs" priority="3" dxfId="8" operator="equal" stopIfTrue="1">
      <formula>0</formula>
    </cfRule>
  </conditionalFormatting>
  <conditionalFormatting sqref="J44:M44">
    <cfRule type="cellIs" priority="1" dxfId="8" operator="equal" stopIfTrue="1">
      <formula>0</formula>
    </cfRule>
  </conditionalFormatting>
  <printOptions horizontalCentered="1"/>
  <pageMargins left="0.11811023622047245" right="0.11811023622047245" top="1.5748031496062993" bottom="0.3937007874015748" header="0.5118110236220472" footer="0"/>
  <pageSetup blackAndWhite="1" fitToHeight="21" fitToWidth="1" horizontalDpi="600" verticalDpi="600" orientation="landscape" paperSize="9" scale="45" r:id="rId1"/>
  <headerFooter differentFirst="1" alignWithMargins="0">
    <oddFooter>&amp;C&amp;P</oddFooter>
  </headerFooter>
  <rowBreaks count="2" manualBreakCount="2">
    <brk id="196" min="2" max="18" man="1"/>
    <brk id="395" min="2"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Корецкая</cp:lastModifiedBy>
  <cp:lastPrinted>2019-03-15T12:42:05Z</cp:lastPrinted>
  <dcterms:created xsi:type="dcterms:W3CDTF">2002-12-16T07:25:53Z</dcterms:created>
  <dcterms:modified xsi:type="dcterms:W3CDTF">2019-03-29T13:02:48Z</dcterms:modified>
  <cp:category/>
  <cp:version/>
  <cp:contentType/>
  <cp:contentStatus/>
</cp:coreProperties>
</file>